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900" windowWidth="24615" windowHeight="11655"/>
  </bookViews>
  <sheets>
    <sheet name="Доходы 2022" sheetId="3" r:id="rId1"/>
  </sheets>
  <calcPr calcId="145621"/>
</workbook>
</file>

<file path=xl/calcChain.xml><?xml version="1.0" encoding="utf-8"?>
<calcChain xmlns="http://schemas.openxmlformats.org/spreadsheetml/2006/main">
  <c r="F63" i="3" l="1"/>
  <c r="G63" i="3"/>
  <c r="H63" i="3"/>
  <c r="I63" i="3"/>
  <c r="J63" i="3"/>
  <c r="K63" i="3"/>
  <c r="L63" i="3"/>
  <c r="N63" i="3" s="1"/>
  <c r="F56" i="3"/>
  <c r="G56" i="3"/>
  <c r="H56" i="3"/>
  <c r="I56" i="3"/>
  <c r="J56" i="3"/>
  <c r="K56" i="3"/>
  <c r="L56" i="3"/>
  <c r="G55" i="3"/>
  <c r="I55" i="3"/>
  <c r="K55" i="3"/>
  <c r="E55" i="3"/>
  <c r="E56" i="3"/>
  <c r="E63" i="3"/>
  <c r="L100" i="3"/>
  <c r="L99" i="3" s="1"/>
  <c r="L155" i="3"/>
  <c r="M152" i="3"/>
  <c r="N152" i="3"/>
  <c r="M153" i="3"/>
  <c r="N153" i="3"/>
  <c r="M148" i="3"/>
  <c r="N148" i="3"/>
  <c r="M149" i="3"/>
  <c r="N149" i="3"/>
  <c r="L152" i="3"/>
  <c r="L148" i="3"/>
  <c r="L117" i="3"/>
  <c r="L109" i="3"/>
  <c r="L107" i="3"/>
  <c r="L95" i="3"/>
  <c r="L75" i="3"/>
  <c r="M75" i="3" s="1"/>
  <c r="N77" i="3"/>
  <c r="N76" i="3"/>
  <c r="M77" i="3"/>
  <c r="M76" i="3"/>
  <c r="M78" i="3"/>
  <c r="M79" i="3"/>
  <c r="M80" i="3"/>
  <c r="L72" i="3"/>
  <c r="M74" i="3"/>
  <c r="N66" i="3"/>
  <c r="N67" i="3"/>
  <c r="M66" i="3"/>
  <c r="M67" i="3"/>
  <c r="D63" i="3"/>
  <c r="C63" i="3"/>
  <c r="N59" i="3"/>
  <c r="N60" i="3"/>
  <c r="M59" i="3"/>
  <c r="M60" i="3"/>
  <c r="L59" i="3"/>
  <c r="M45" i="3"/>
  <c r="M46" i="3"/>
  <c r="M47" i="3"/>
  <c r="M48" i="3"/>
  <c r="M49" i="3"/>
  <c r="M50" i="3"/>
  <c r="M51" i="3"/>
  <c r="M52" i="3"/>
  <c r="L144" i="3"/>
  <c r="M63" i="3" l="1"/>
  <c r="J55" i="3"/>
  <c r="F55" i="3"/>
  <c r="L55" i="3"/>
  <c r="H55" i="3"/>
  <c r="K100" i="3"/>
  <c r="K153" i="3"/>
  <c r="K152" i="3" s="1"/>
  <c r="K148" i="3"/>
  <c r="K149" i="3"/>
  <c r="K147" i="3"/>
  <c r="K145" i="3"/>
  <c r="K144" i="3" s="1"/>
  <c r="K143" i="3"/>
  <c r="K141" i="3"/>
  <c r="K137" i="3"/>
  <c r="K133" i="3"/>
  <c r="K129" i="3"/>
  <c r="K127" i="3"/>
  <c r="K131" i="3"/>
  <c r="K110" i="3"/>
  <c r="K109" i="3" s="1"/>
  <c r="K124" i="3"/>
  <c r="K122" i="3"/>
  <c r="K116" i="3"/>
  <c r="K108" i="3"/>
  <c r="K107" i="3"/>
  <c r="K103" i="3"/>
  <c r="K98" i="3"/>
  <c r="K93" i="3"/>
  <c r="K87" i="3"/>
  <c r="K84" i="3"/>
  <c r="K70" i="3"/>
  <c r="K67" i="3"/>
  <c r="K66" i="3" s="1"/>
  <c r="K65" i="3"/>
  <c r="K62" i="3"/>
  <c r="K58" i="3"/>
  <c r="K49" i="3"/>
  <c r="K42" i="3"/>
  <c r="K37" i="3"/>
  <c r="K34" i="3"/>
  <c r="K25" i="3"/>
  <c r="K15" i="3"/>
  <c r="K9" i="3"/>
  <c r="J147" i="3"/>
  <c r="J153" i="3"/>
  <c r="J152" i="3"/>
  <c r="J145" i="3"/>
  <c r="J144" i="3"/>
  <c r="J143" i="3"/>
  <c r="J141" i="3"/>
  <c r="J137" i="3"/>
  <c r="J133" i="3"/>
  <c r="J131" i="3"/>
  <c r="J129" i="3"/>
  <c r="J127" i="3"/>
  <c r="J148" i="3"/>
  <c r="J149" i="3"/>
  <c r="J122" i="3"/>
  <c r="J116" i="3"/>
  <c r="J110" i="3"/>
  <c r="J108" i="3"/>
  <c r="J124" i="3"/>
  <c r="J105" i="3"/>
  <c r="J103" i="3"/>
  <c r="J98" i="3"/>
  <c r="J93" i="3"/>
  <c r="J87" i="3"/>
  <c r="J84" i="3"/>
  <c r="J70" i="3"/>
  <c r="J67" i="3"/>
  <c r="J65" i="3"/>
  <c r="J62" i="3"/>
  <c r="J58" i="3"/>
  <c r="J49" i="3"/>
  <c r="J42" i="3"/>
  <c r="J37" i="3"/>
  <c r="J34" i="3"/>
  <c r="J25" i="3"/>
  <c r="J15" i="3"/>
  <c r="J9" i="3"/>
  <c r="I126" i="3"/>
  <c r="I106" i="3"/>
  <c r="I153" i="3"/>
  <c r="I152" i="3" s="1"/>
  <c r="I148" i="3"/>
  <c r="I146" i="3"/>
  <c r="I147" i="3"/>
  <c r="I145" i="3"/>
  <c r="I144" i="3"/>
  <c r="I143" i="3"/>
  <c r="I142" i="3"/>
  <c r="I137" i="3"/>
  <c r="I136" i="3"/>
  <c r="I133" i="3"/>
  <c r="I132" i="3"/>
  <c r="I131" i="3"/>
  <c r="I130" i="3" s="1"/>
  <c r="I141" i="3"/>
  <c r="I140" i="3" s="1"/>
  <c r="I129" i="3"/>
  <c r="I128" i="3" s="1"/>
  <c r="I127" i="3"/>
  <c r="H106" i="3"/>
  <c r="I110" i="3"/>
  <c r="I109" i="3" s="1"/>
  <c r="I108" i="3"/>
  <c r="I107" i="3" s="1"/>
  <c r="I116" i="3"/>
  <c r="I115" i="3"/>
  <c r="I122" i="3"/>
  <c r="I121" i="3" s="1"/>
  <c r="I119" i="3"/>
  <c r="I118" i="3"/>
  <c r="I117" i="3"/>
  <c r="I124" i="3"/>
  <c r="I123" i="3"/>
  <c r="I105" i="3"/>
  <c r="I103" i="3"/>
  <c r="I104" i="3"/>
  <c r="I102" i="3"/>
  <c r="I8" i="3"/>
  <c r="I98" i="3"/>
  <c r="I97" i="3"/>
  <c r="I95" i="3"/>
  <c r="I93" i="3"/>
  <c r="I92" i="3"/>
  <c r="I91" i="3" s="1"/>
  <c r="I85" i="3"/>
  <c r="I86" i="3"/>
  <c r="I87" i="3"/>
  <c r="I83" i="3"/>
  <c r="I84" i="3"/>
  <c r="I82" i="3"/>
  <c r="I81" i="3" s="1"/>
  <c r="I80" i="3"/>
  <c r="I79" i="3"/>
  <c r="I78" i="3"/>
  <c r="I75" i="3"/>
  <c r="I70" i="3"/>
  <c r="I67" i="3"/>
  <c r="I66" i="3" s="1"/>
  <c r="I65" i="3"/>
  <c r="I64" i="3"/>
  <c r="I62" i="3"/>
  <c r="I61" i="3"/>
  <c r="I58" i="3"/>
  <c r="I57" i="3" s="1"/>
  <c r="I52" i="3"/>
  <c r="I49" i="3"/>
  <c r="I42" i="3"/>
  <c r="I37" i="3"/>
  <c r="I34" i="3"/>
  <c r="I25" i="3"/>
  <c r="I15" i="3"/>
  <c r="I14" i="3" s="1"/>
  <c r="I9" i="3"/>
  <c r="H100" i="3"/>
  <c r="H147" i="3"/>
  <c r="H146" i="3"/>
  <c r="H152" i="3"/>
  <c r="H145" i="3"/>
  <c r="H144" i="3"/>
  <c r="H143" i="3"/>
  <c r="H142" i="3" s="1"/>
  <c r="H141" i="3"/>
  <c r="H140" i="3" s="1"/>
  <c r="H138" i="3"/>
  <c r="H137" i="3"/>
  <c r="H136" i="3" s="1"/>
  <c r="H135" i="3"/>
  <c r="H134" i="3" s="1"/>
  <c r="H133" i="3"/>
  <c r="H132" i="3"/>
  <c r="H131" i="3"/>
  <c r="H130" i="3" s="1"/>
  <c r="H129" i="3"/>
  <c r="H128" i="3" s="1"/>
  <c r="H127" i="3"/>
  <c r="H126" i="3"/>
  <c r="H117" i="3"/>
  <c r="H124" i="3"/>
  <c r="H123" i="3"/>
  <c r="H122" i="3"/>
  <c r="H121" i="3"/>
  <c r="H120" i="3"/>
  <c r="H119" i="3"/>
  <c r="H116" i="3"/>
  <c r="H115" i="3" s="1"/>
  <c r="H113" i="3"/>
  <c r="H111" i="3"/>
  <c r="H110" i="3"/>
  <c r="H109" i="3"/>
  <c r="H108" i="3"/>
  <c r="H107" i="3" s="1"/>
  <c r="H104" i="3"/>
  <c r="H103" i="3"/>
  <c r="H102" i="3"/>
  <c r="H101" i="3" s="1"/>
  <c r="H98" i="3"/>
  <c r="H97" i="3" s="1"/>
  <c r="H94" i="3" s="1"/>
  <c r="H96" i="3"/>
  <c r="H95" i="3"/>
  <c r="H93" i="3"/>
  <c r="H92" i="3" s="1"/>
  <c r="H91" i="3" s="1"/>
  <c r="H87" i="3"/>
  <c r="H86" i="3"/>
  <c r="H84" i="3"/>
  <c r="H83" i="3"/>
  <c r="H82" i="3" s="1"/>
  <c r="H80" i="3"/>
  <c r="H79" i="3" s="1"/>
  <c r="H78" i="3" s="1"/>
  <c r="H75" i="3"/>
  <c r="H70" i="3"/>
  <c r="H67" i="3"/>
  <c r="H66" i="3"/>
  <c r="H65" i="3"/>
  <c r="H64" i="3" s="1"/>
  <c r="H62" i="3"/>
  <c r="H61" i="3"/>
  <c r="H58" i="3"/>
  <c r="H57" i="3"/>
  <c r="H49" i="3"/>
  <c r="H48" i="3"/>
  <c r="H42" i="3"/>
  <c r="H37" i="3"/>
  <c r="H34" i="3"/>
  <c r="H25" i="3"/>
  <c r="H15" i="3"/>
  <c r="H14" i="3" s="1"/>
  <c r="H9" i="3"/>
  <c r="H8" i="3"/>
  <c r="G147" i="3"/>
  <c r="G145" i="3"/>
  <c r="G144" i="3"/>
  <c r="G143" i="3"/>
  <c r="G141" i="3"/>
  <c r="G137" i="3"/>
  <c r="G133" i="3"/>
  <c r="G131" i="3"/>
  <c r="G129" i="3"/>
  <c r="G127" i="3"/>
  <c r="G124" i="3"/>
  <c r="G122" i="3"/>
  <c r="G116" i="3"/>
  <c r="G110" i="3"/>
  <c r="G108" i="3"/>
  <c r="G103" i="3"/>
  <c r="G98" i="3"/>
  <c r="G93" i="3"/>
  <c r="G87" i="3"/>
  <c r="G84" i="3"/>
  <c r="G70" i="3"/>
  <c r="G66" i="3"/>
  <c r="G65" i="3"/>
  <c r="J66" i="3"/>
  <c r="L66" i="3"/>
  <c r="F66" i="3"/>
  <c r="G62" i="3"/>
  <c r="G58" i="3"/>
  <c r="G42" i="3"/>
  <c r="G37" i="3"/>
  <c r="G34" i="3"/>
  <c r="G25" i="3"/>
  <c r="G15" i="3"/>
  <c r="G9" i="3"/>
  <c r="G11" i="3"/>
  <c r="G12" i="3"/>
  <c r="G13" i="3"/>
  <c r="G10" i="3"/>
  <c r="J48" i="3"/>
  <c r="K48" i="3"/>
  <c r="L48" i="3"/>
  <c r="G48" i="3"/>
  <c r="F143" i="3"/>
  <c r="F127" i="3"/>
  <c r="F147" i="3"/>
  <c r="F145" i="3"/>
  <c r="F141" i="3"/>
  <c r="F137" i="3"/>
  <c r="F135" i="3"/>
  <c r="F133" i="3"/>
  <c r="F131" i="3"/>
  <c r="F129" i="3"/>
  <c r="F124" i="3"/>
  <c r="F122" i="3"/>
  <c r="F116" i="3"/>
  <c r="F110" i="3"/>
  <c r="F108" i="3"/>
  <c r="F98" i="3"/>
  <c r="F93" i="3"/>
  <c r="F87" i="3"/>
  <c r="F84" i="3"/>
  <c r="F70" i="3"/>
  <c r="F65" i="3"/>
  <c r="F62" i="3"/>
  <c r="F58" i="3"/>
  <c r="F42" i="3"/>
  <c r="F37" i="3"/>
  <c r="F34" i="3"/>
  <c r="F25" i="3"/>
  <c r="F15" i="3"/>
  <c r="E145" i="3"/>
  <c r="E124" i="3"/>
  <c r="E147" i="3"/>
  <c r="E141" i="3"/>
  <c r="E143" i="3"/>
  <c r="E137" i="3"/>
  <c r="E133" i="3"/>
  <c r="E131" i="3"/>
  <c r="E129" i="3"/>
  <c r="E127" i="3"/>
  <c r="E110" i="3"/>
  <c r="E108" i="3"/>
  <c r="E116" i="3"/>
  <c r="E122" i="3"/>
  <c r="E98" i="3"/>
  <c r="E93" i="3"/>
  <c r="E87" i="3"/>
  <c r="E84" i="3"/>
  <c r="E80" i="3"/>
  <c r="E70" i="3"/>
  <c r="E65" i="3"/>
  <c r="E62" i="3"/>
  <c r="E58" i="3"/>
  <c r="E42" i="3"/>
  <c r="E37" i="3"/>
  <c r="E34" i="3"/>
  <c r="E25" i="3"/>
  <c r="E15" i="3"/>
  <c r="E144" i="3"/>
  <c r="F144" i="3" s="1"/>
  <c r="D144" i="3"/>
  <c r="D145" i="3"/>
  <c r="D124" i="3"/>
  <c r="D127" i="3"/>
  <c r="D126" i="3" s="1"/>
  <c r="D137" i="3"/>
  <c r="D147" i="3"/>
  <c r="D143" i="3"/>
  <c r="D141" i="3"/>
  <c r="D135" i="3"/>
  <c r="D133" i="3"/>
  <c r="D131" i="3"/>
  <c r="D129" i="3"/>
  <c r="D116" i="3"/>
  <c r="D122" i="3"/>
  <c r="D98" i="3"/>
  <c r="D93" i="3"/>
  <c r="D87" i="3"/>
  <c r="D84" i="3"/>
  <c r="D71" i="3"/>
  <c r="E71" i="3" s="1"/>
  <c r="F71" i="3" s="1"/>
  <c r="G71" i="3" s="1"/>
  <c r="H71" i="3" s="1"/>
  <c r="I71" i="3" s="1"/>
  <c r="J71" i="3" s="1"/>
  <c r="K71" i="3" s="1"/>
  <c r="D72" i="3"/>
  <c r="D73" i="3"/>
  <c r="E73" i="3" s="1"/>
  <c r="D74" i="3"/>
  <c r="E74" i="3" s="1"/>
  <c r="F74" i="3" s="1"/>
  <c r="G74" i="3" s="1"/>
  <c r="H74" i="3" s="1"/>
  <c r="I74" i="3" s="1"/>
  <c r="J74" i="3" s="1"/>
  <c r="K74" i="3" s="1"/>
  <c r="N74" i="3" s="1"/>
  <c r="D70" i="3"/>
  <c r="D65" i="3"/>
  <c r="D62" i="3"/>
  <c r="D58" i="3"/>
  <c r="D43" i="3"/>
  <c r="D44" i="3"/>
  <c r="E44" i="3" s="1"/>
  <c r="F44" i="3" s="1"/>
  <c r="G44" i="3" s="1"/>
  <c r="H44" i="3" s="1"/>
  <c r="I44" i="3" s="1"/>
  <c r="D42" i="3"/>
  <c r="D38" i="3"/>
  <c r="D39" i="3"/>
  <c r="E39" i="3" s="1"/>
  <c r="F39" i="3" s="1"/>
  <c r="D37" i="3"/>
  <c r="D34" i="3"/>
  <c r="D26" i="3"/>
  <c r="E26" i="3" s="1"/>
  <c r="D27" i="3"/>
  <c r="E27" i="3" s="1"/>
  <c r="F27" i="3" s="1"/>
  <c r="G27" i="3" s="1"/>
  <c r="H27" i="3" s="1"/>
  <c r="I27" i="3" s="1"/>
  <c r="J27" i="3" s="1"/>
  <c r="D28" i="3"/>
  <c r="E28" i="3" s="1"/>
  <c r="F28" i="3" s="1"/>
  <c r="G28" i="3" s="1"/>
  <c r="H28" i="3" s="1"/>
  <c r="I28" i="3" s="1"/>
  <c r="J28" i="3" s="1"/>
  <c r="D29" i="3"/>
  <c r="E29" i="3" s="1"/>
  <c r="F29" i="3" s="1"/>
  <c r="G29" i="3" s="1"/>
  <c r="H29" i="3" s="1"/>
  <c r="I29" i="3" s="1"/>
  <c r="J29" i="3" s="1"/>
  <c r="K29" i="3" s="1"/>
  <c r="D30" i="3"/>
  <c r="E30" i="3" s="1"/>
  <c r="F30" i="3" s="1"/>
  <c r="G30" i="3" s="1"/>
  <c r="H30" i="3" s="1"/>
  <c r="I30" i="3" s="1"/>
  <c r="J30" i="3" s="1"/>
  <c r="D31" i="3"/>
  <c r="E31" i="3" s="1"/>
  <c r="F31" i="3" s="1"/>
  <c r="G31" i="3" s="1"/>
  <c r="H31" i="3" s="1"/>
  <c r="I31" i="3" s="1"/>
  <c r="J31" i="3" s="1"/>
  <c r="K31" i="3" s="1"/>
  <c r="D25" i="3"/>
  <c r="D15" i="3"/>
  <c r="D9" i="3"/>
  <c r="D8" i="3" s="1"/>
  <c r="D14" i="3"/>
  <c r="D41" i="3"/>
  <c r="D56" i="3"/>
  <c r="D55" i="3" s="1"/>
  <c r="D57" i="3"/>
  <c r="D61" i="3"/>
  <c r="D64" i="3"/>
  <c r="D83" i="3"/>
  <c r="D82" i="3" s="1"/>
  <c r="D86" i="3"/>
  <c r="D85" i="3" s="1"/>
  <c r="D92" i="3"/>
  <c r="D91" i="3" s="1"/>
  <c r="D97" i="3"/>
  <c r="D94" i="3" s="1"/>
  <c r="D102" i="3"/>
  <c r="D101" i="3" s="1"/>
  <c r="D107" i="3"/>
  <c r="D109" i="3"/>
  <c r="D111" i="3"/>
  <c r="D113" i="3"/>
  <c r="D115" i="3"/>
  <c r="D121" i="3"/>
  <c r="D123" i="3"/>
  <c r="D128" i="3"/>
  <c r="D125" i="3" s="1"/>
  <c r="D130" i="3"/>
  <c r="D132" i="3"/>
  <c r="D134" i="3"/>
  <c r="D136" i="3"/>
  <c r="D138" i="3"/>
  <c r="D140" i="3"/>
  <c r="D142" i="3"/>
  <c r="D146" i="3"/>
  <c r="D150" i="3"/>
  <c r="C127" i="3"/>
  <c r="C144" i="3"/>
  <c r="C124" i="3"/>
  <c r="L69" i="3"/>
  <c r="L68" i="3" s="1"/>
  <c r="C69" i="3"/>
  <c r="L24" i="3"/>
  <c r="C24" i="3"/>
  <c r="C72" i="3"/>
  <c r="C8" i="3"/>
  <c r="M84" i="3"/>
  <c r="C36" i="3"/>
  <c r="L36" i="3"/>
  <c r="D36" i="3" l="1"/>
  <c r="D33" i="3" s="1"/>
  <c r="I41" i="3"/>
  <c r="J44" i="3"/>
  <c r="K44" i="3" s="1"/>
  <c r="D24" i="3"/>
  <c r="I125" i="3"/>
  <c r="I101" i="3"/>
  <c r="I94" i="3"/>
  <c r="H125" i="3"/>
  <c r="H99" i="3" s="1"/>
  <c r="F73" i="3"/>
  <c r="E72" i="3"/>
  <c r="E69" i="3" s="1"/>
  <c r="E68" i="3" s="1"/>
  <c r="D69" i="3"/>
  <c r="D68" i="3" s="1"/>
  <c r="H41" i="3"/>
  <c r="G39" i="3"/>
  <c r="F36" i="3"/>
  <c r="F33" i="3" s="1"/>
  <c r="E24" i="3"/>
  <c r="F26" i="3"/>
  <c r="E36" i="3"/>
  <c r="E33" i="3" s="1"/>
  <c r="E9" i="3"/>
  <c r="F9" i="3" s="1"/>
  <c r="D106" i="3"/>
  <c r="D81" i="3"/>
  <c r="J150" i="3"/>
  <c r="J146" i="3"/>
  <c r="J142" i="3"/>
  <c r="J140" i="3"/>
  <c r="J138" i="3"/>
  <c r="J136" i="3"/>
  <c r="J134" i="3"/>
  <c r="J132" i="3"/>
  <c r="J130" i="3"/>
  <c r="J128" i="3"/>
  <c r="J126" i="3"/>
  <c r="J123" i="3"/>
  <c r="J121" i="3"/>
  <c r="J119" i="3"/>
  <c r="J106" i="3" s="1"/>
  <c r="J115" i="3"/>
  <c r="J113" i="3"/>
  <c r="J111" i="3"/>
  <c r="J109" i="3"/>
  <c r="J107" i="3"/>
  <c r="J104" i="3"/>
  <c r="J102" i="3"/>
  <c r="J97" i="3"/>
  <c r="J94" i="3" s="1"/>
  <c r="J92" i="3"/>
  <c r="J91" i="3" s="1"/>
  <c r="J86" i="3"/>
  <c r="J85" i="3" s="1"/>
  <c r="J83" i="3"/>
  <c r="J82" i="3" s="1"/>
  <c r="J79" i="3"/>
  <c r="J78" i="3"/>
  <c r="J75" i="3"/>
  <c r="J64" i="3"/>
  <c r="J61" i="3"/>
  <c r="J57" i="3"/>
  <c r="J41" i="3"/>
  <c r="J14" i="3"/>
  <c r="G119" i="3"/>
  <c r="G150" i="3"/>
  <c r="G146" i="3"/>
  <c r="G142" i="3"/>
  <c r="G140" i="3"/>
  <c r="G138" i="3"/>
  <c r="G136" i="3"/>
  <c r="G134" i="3"/>
  <c r="G132" i="3"/>
  <c r="G130" i="3"/>
  <c r="G128" i="3"/>
  <c r="G126" i="3"/>
  <c r="G123" i="3"/>
  <c r="G121" i="3"/>
  <c r="G115" i="3"/>
  <c r="G113" i="3"/>
  <c r="G111" i="3"/>
  <c r="G109" i="3"/>
  <c r="G107" i="3"/>
  <c r="G104" i="3"/>
  <c r="G102" i="3"/>
  <c r="G97" i="3"/>
  <c r="G94" i="3" s="1"/>
  <c r="G92" i="3"/>
  <c r="G91" i="3" s="1"/>
  <c r="G86" i="3"/>
  <c r="G85" i="3" s="1"/>
  <c r="G83" i="3"/>
  <c r="G82" i="3" s="1"/>
  <c r="G79" i="3"/>
  <c r="G78" i="3"/>
  <c r="G75" i="3"/>
  <c r="G64" i="3"/>
  <c r="G61" i="3"/>
  <c r="G57" i="3"/>
  <c r="G41" i="3"/>
  <c r="G14" i="3"/>
  <c r="F142" i="3"/>
  <c r="F126" i="3"/>
  <c r="F123" i="3"/>
  <c r="F102" i="3"/>
  <c r="F8" i="3"/>
  <c r="F150" i="3"/>
  <c r="F146" i="3"/>
  <c r="F140" i="3"/>
  <c r="F138" i="3"/>
  <c r="F136" i="3"/>
  <c r="F134" i="3"/>
  <c r="F132" i="3"/>
  <c r="F130" i="3"/>
  <c r="F128" i="3"/>
  <c r="F121" i="3"/>
  <c r="F115" i="3"/>
  <c r="F113" i="3"/>
  <c r="F111" i="3"/>
  <c r="F109" i="3"/>
  <c r="F107" i="3"/>
  <c r="F104" i="3"/>
  <c r="F97" i="3"/>
  <c r="F94" i="3" s="1"/>
  <c r="F92" i="3"/>
  <c r="F91" i="3" s="1"/>
  <c r="F86" i="3"/>
  <c r="F85" i="3" s="1"/>
  <c r="F83" i="3"/>
  <c r="F82" i="3" s="1"/>
  <c r="F79" i="3"/>
  <c r="F78" i="3"/>
  <c r="F75" i="3"/>
  <c r="F64" i="3"/>
  <c r="F61" i="3"/>
  <c r="F57" i="3"/>
  <c r="F41" i="3"/>
  <c r="F14" i="3"/>
  <c r="E123" i="3"/>
  <c r="E104" i="3"/>
  <c r="E86" i="3"/>
  <c r="E85" i="3" s="1"/>
  <c r="E75" i="3"/>
  <c r="E78" i="3"/>
  <c r="E79" i="3"/>
  <c r="E150" i="3"/>
  <c r="E146" i="3"/>
  <c r="E142" i="3"/>
  <c r="E140" i="3"/>
  <c r="E138" i="3"/>
  <c r="E136" i="3"/>
  <c r="E134" i="3"/>
  <c r="E132" i="3"/>
  <c r="E130" i="3"/>
  <c r="E128" i="3"/>
  <c r="E126" i="3"/>
  <c r="E121" i="3"/>
  <c r="E115" i="3"/>
  <c r="E113" i="3"/>
  <c r="E111" i="3"/>
  <c r="E109" i="3"/>
  <c r="E107" i="3"/>
  <c r="E102" i="3"/>
  <c r="E97" i="3"/>
  <c r="E94" i="3" s="1"/>
  <c r="E92" i="3"/>
  <c r="E91" i="3" s="1"/>
  <c r="E83" i="3"/>
  <c r="E82" i="3" s="1"/>
  <c r="E64" i="3"/>
  <c r="E61" i="3"/>
  <c r="E57" i="3"/>
  <c r="E41" i="3"/>
  <c r="E14" i="3"/>
  <c r="E8" i="3"/>
  <c r="J100" i="3" l="1"/>
  <c r="J101" i="3"/>
  <c r="I100" i="3"/>
  <c r="I99" i="3" s="1"/>
  <c r="D7" i="3"/>
  <c r="G36" i="3"/>
  <c r="G33" i="3" s="1"/>
  <c r="H39" i="3"/>
  <c r="F72" i="3"/>
  <c r="F69" i="3" s="1"/>
  <c r="F68" i="3" s="1"/>
  <c r="G73" i="3"/>
  <c r="G125" i="3"/>
  <c r="F24" i="3"/>
  <c r="G26" i="3"/>
  <c r="G8" i="3"/>
  <c r="J8" i="3"/>
  <c r="F125" i="3"/>
  <c r="E101" i="3"/>
  <c r="E125" i="3"/>
  <c r="J125" i="3"/>
  <c r="D100" i="3"/>
  <c r="D99" i="3" s="1"/>
  <c r="G106" i="3"/>
  <c r="F101" i="3"/>
  <c r="G101" i="3"/>
  <c r="J81" i="3"/>
  <c r="F81" i="3"/>
  <c r="G81" i="3"/>
  <c r="F106" i="3"/>
  <c r="E106" i="3"/>
  <c r="E81" i="3"/>
  <c r="N9" i="3"/>
  <c r="N10" i="3"/>
  <c r="N11" i="3"/>
  <c r="N12" i="3"/>
  <c r="N13" i="3"/>
  <c r="N15" i="3"/>
  <c r="N16" i="3"/>
  <c r="N17" i="3"/>
  <c r="N18" i="3"/>
  <c r="N19" i="3"/>
  <c r="N20" i="3"/>
  <c r="N21" i="3"/>
  <c r="N22" i="3"/>
  <c r="N23" i="3"/>
  <c r="N25" i="3"/>
  <c r="N27" i="3"/>
  <c r="N28" i="3"/>
  <c r="N29" i="3"/>
  <c r="N30" i="3"/>
  <c r="N31" i="3"/>
  <c r="N32" i="3"/>
  <c r="N34" i="3"/>
  <c r="N35" i="3"/>
  <c r="N37" i="3"/>
  <c r="N38" i="3"/>
  <c r="N40" i="3"/>
  <c r="N42" i="3"/>
  <c r="N43" i="3"/>
  <c r="N44" i="3"/>
  <c r="N45" i="3"/>
  <c r="N46" i="3"/>
  <c r="N47" i="3"/>
  <c r="N50" i="3"/>
  <c r="N51" i="3"/>
  <c r="N52" i="3"/>
  <c r="N53" i="3"/>
  <c r="N54" i="3"/>
  <c r="N58" i="3"/>
  <c r="N62" i="3"/>
  <c r="N65" i="3"/>
  <c r="N70" i="3"/>
  <c r="N71" i="3"/>
  <c r="N80" i="3"/>
  <c r="N84" i="3"/>
  <c r="N87" i="3"/>
  <c r="N90" i="3"/>
  <c r="N93" i="3"/>
  <c r="N96" i="3"/>
  <c r="N98" i="3"/>
  <c r="N103" i="3"/>
  <c r="N105" i="3"/>
  <c r="N107" i="3"/>
  <c r="N108" i="3"/>
  <c r="N109" i="3"/>
  <c r="N116" i="3"/>
  <c r="N122" i="3"/>
  <c r="N124" i="3"/>
  <c r="N127" i="3"/>
  <c r="N129" i="3"/>
  <c r="N131" i="3"/>
  <c r="N133" i="3"/>
  <c r="N137" i="3"/>
  <c r="N141" i="3"/>
  <c r="N143" i="3"/>
  <c r="N145" i="3"/>
  <c r="N147" i="3"/>
  <c r="M9" i="3"/>
  <c r="M10" i="3"/>
  <c r="M11" i="3"/>
  <c r="M12" i="3"/>
  <c r="M13" i="3"/>
  <c r="M15" i="3"/>
  <c r="M16" i="3"/>
  <c r="M17" i="3"/>
  <c r="M18" i="3"/>
  <c r="M19" i="3"/>
  <c r="M20" i="3"/>
  <c r="M21" i="3"/>
  <c r="M22" i="3"/>
  <c r="M23" i="3"/>
  <c r="M26" i="3"/>
  <c r="M27" i="3"/>
  <c r="M28" i="3"/>
  <c r="M29" i="3"/>
  <c r="M30" i="3"/>
  <c r="M31" i="3"/>
  <c r="M32" i="3"/>
  <c r="M34" i="3"/>
  <c r="M35" i="3"/>
  <c r="M37" i="3"/>
  <c r="M38" i="3"/>
  <c r="M39" i="3"/>
  <c r="M40" i="3"/>
  <c r="M42" i="3"/>
  <c r="M43" i="3"/>
  <c r="M44" i="3"/>
  <c r="M53" i="3"/>
  <c r="M54" i="3"/>
  <c r="M58" i="3"/>
  <c r="M62" i="3"/>
  <c r="M65" i="3"/>
  <c r="M70" i="3"/>
  <c r="M71" i="3"/>
  <c r="M73" i="3"/>
  <c r="M87" i="3"/>
  <c r="M90" i="3"/>
  <c r="M93" i="3"/>
  <c r="M95" i="3"/>
  <c r="M96" i="3"/>
  <c r="M98" i="3"/>
  <c r="M103" i="3"/>
  <c r="M105" i="3"/>
  <c r="M108" i="3"/>
  <c r="M116" i="3"/>
  <c r="M122" i="3"/>
  <c r="M124" i="3"/>
  <c r="M127" i="3"/>
  <c r="M129" i="3"/>
  <c r="M131" i="3"/>
  <c r="M133" i="3"/>
  <c r="M137" i="3"/>
  <c r="M141" i="3"/>
  <c r="M143" i="3"/>
  <c r="M145" i="3"/>
  <c r="M147" i="3"/>
  <c r="F7" i="3" l="1"/>
  <c r="D6" i="3"/>
  <c r="H36" i="3"/>
  <c r="H33" i="3" s="1"/>
  <c r="I33" i="3" s="1"/>
  <c r="I39" i="3"/>
  <c r="J99" i="3"/>
  <c r="H73" i="3"/>
  <c r="G72" i="3"/>
  <c r="G69" i="3" s="1"/>
  <c r="G68" i="3" s="1"/>
  <c r="G24" i="3"/>
  <c r="G7" i="3" s="1"/>
  <c r="H26" i="3"/>
  <c r="E7" i="3"/>
  <c r="E100" i="3"/>
  <c r="E99" i="3" s="1"/>
  <c r="G100" i="3"/>
  <c r="G99" i="3" s="1"/>
  <c r="F100" i="3"/>
  <c r="F99" i="3" s="1"/>
  <c r="F6" i="3" s="1"/>
  <c r="L64" i="3"/>
  <c r="L104" i="3"/>
  <c r="L89" i="3"/>
  <c r="L150" i="3"/>
  <c r="K150" i="3"/>
  <c r="L138" i="3"/>
  <c r="K138" i="3"/>
  <c r="L132" i="3"/>
  <c r="K132" i="3"/>
  <c r="L142" i="3"/>
  <c r="K142" i="3"/>
  <c r="L119" i="3"/>
  <c r="K119" i="3"/>
  <c r="L113" i="3"/>
  <c r="K95" i="3"/>
  <c r="N95" i="3" s="1"/>
  <c r="K97" i="3"/>
  <c r="K92" i="3"/>
  <c r="K91" i="3" s="1"/>
  <c r="K79" i="3"/>
  <c r="K78" i="3" s="1"/>
  <c r="K75" i="3" s="1"/>
  <c r="K61" i="3"/>
  <c r="C150" i="3"/>
  <c r="C142" i="3"/>
  <c r="C146" i="3"/>
  <c r="C138" i="3"/>
  <c r="C136" i="3"/>
  <c r="C113" i="3"/>
  <c r="C107" i="3"/>
  <c r="M107" i="3" s="1"/>
  <c r="C97" i="3"/>
  <c r="C94" i="3" s="1"/>
  <c r="C92" i="3"/>
  <c r="C91" i="3" s="1"/>
  <c r="C86" i="3"/>
  <c r="C85" i="3" s="1"/>
  <c r="C83" i="3"/>
  <c r="C82" i="3" s="1"/>
  <c r="C64" i="3"/>
  <c r="C61" i="3"/>
  <c r="C56" i="3"/>
  <c r="C55" i="3" s="1"/>
  <c r="H72" i="3" l="1"/>
  <c r="H69" i="3" s="1"/>
  <c r="H68" i="3" s="1"/>
  <c r="I73" i="3"/>
  <c r="H24" i="3"/>
  <c r="I26" i="3"/>
  <c r="J39" i="3"/>
  <c r="I36" i="3"/>
  <c r="G6" i="3"/>
  <c r="E6" i="3"/>
  <c r="K94" i="3"/>
  <c r="M142" i="3"/>
  <c r="N142" i="3"/>
  <c r="M110" i="3"/>
  <c r="N110" i="3"/>
  <c r="M144" i="3"/>
  <c r="M89" i="3"/>
  <c r="M64" i="3"/>
  <c r="N132" i="3"/>
  <c r="M104" i="3"/>
  <c r="L154" i="3"/>
  <c r="L146" i="3"/>
  <c r="L97" i="3"/>
  <c r="L79" i="3"/>
  <c r="L61" i="3"/>
  <c r="L14" i="3"/>
  <c r="L8" i="3"/>
  <c r="L41" i="3"/>
  <c r="L57" i="3"/>
  <c r="L82" i="3"/>
  <c r="L83" i="3"/>
  <c r="L86" i="3"/>
  <c r="L88" i="3"/>
  <c r="L92" i="3"/>
  <c r="L91" i="3" s="1"/>
  <c r="L102" i="3"/>
  <c r="L101" i="3" s="1"/>
  <c r="L111" i="3"/>
  <c r="L115" i="3"/>
  <c r="L121" i="3"/>
  <c r="L123" i="3"/>
  <c r="L126" i="3"/>
  <c r="L128" i="3"/>
  <c r="L130" i="3"/>
  <c r="L134" i="3"/>
  <c r="L136" i="3"/>
  <c r="L140" i="3"/>
  <c r="L125" i="3" l="1"/>
  <c r="J73" i="3"/>
  <c r="I72" i="3"/>
  <c r="I69" i="3" s="1"/>
  <c r="I68" i="3" s="1"/>
  <c r="J36" i="3"/>
  <c r="J33" i="3" s="1"/>
  <c r="K39" i="3"/>
  <c r="I24" i="3"/>
  <c r="J26" i="3"/>
  <c r="L106" i="3"/>
  <c r="L33" i="3"/>
  <c r="M36" i="3"/>
  <c r="M88" i="3"/>
  <c r="M97" i="3"/>
  <c r="N97" i="3"/>
  <c r="L94" i="3"/>
  <c r="M92" i="3"/>
  <c r="N92" i="3"/>
  <c r="M82" i="3"/>
  <c r="M86" i="3"/>
  <c r="L78" i="3"/>
  <c r="N79" i="3"/>
  <c r="M72" i="3"/>
  <c r="M136" i="3"/>
  <c r="M83" i="3"/>
  <c r="N61" i="3"/>
  <c r="M61" i="3"/>
  <c r="M146" i="3"/>
  <c r="L85" i="3"/>
  <c r="K146" i="3"/>
  <c r="N146" i="3" s="1"/>
  <c r="K136" i="3"/>
  <c r="N136" i="3" s="1"/>
  <c r="K134" i="3"/>
  <c r="K115" i="3"/>
  <c r="N115" i="3" s="1"/>
  <c r="K104" i="3"/>
  <c r="N104" i="3" s="1"/>
  <c r="K86" i="3"/>
  <c r="N86" i="3" s="1"/>
  <c r="K89" i="3"/>
  <c r="K82" i="3"/>
  <c r="N82" i="3" s="1"/>
  <c r="K83" i="3"/>
  <c r="N83" i="3" s="1"/>
  <c r="K8" i="3"/>
  <c r="N8" i="3" s="1"/>
  <c r="K14" i="3"/>
  <c r="N14" i="3" s="1"/>
  <c r="K41" i="3"/>
  <c r="N41" i="3" s="1"/>
  <c r="K57" i="3"/>
  <c r="K64" i="3"/>
  <c r="N64" i="3" s="1"/>
  <c r="K102" i="3"/>
  <c r="K111" i="3"/>
  <c r="K121" i="3"/>
  <c r="N121" i="3" s="1"/>
  <c r="K123" i="3"/>
  <c r="N123" i="3" s="1"/>
  <c r="K126" i="3"/>
  <c r="K128" i="3"/>
  <c r="N128" i="3" s="1"/>
  <c r="K130" i="3"/>
  <c r="K140" i="3"/>
  <c r="N140" i="3" s="1"/>
  <c r="C140" i="3"/>
  <c r="M140" i="3" s="1"/>
  <c r="C134" i="3"/>
  <c r="C132" i="3"/>
  <c r="M132" i="3" s="1"/>
  <c r="C130" i="3"/>
  <c r="M130" i="3" s="1"/>
  <c r="C128" i="3"/>
  <c r="M128" i="3" s="1"/>
  <c r="C126" i="3"/>
  <c r="C123" i="3"/>
  <c r="M123" i="3" s="1"/>
  <c r="C121" i="3"/>
  <c r="M121" i="3" s="1"/>
  <c r="C115" i="3"/>
  <c r="M115" i="3" s="1"/>
  <c r="C111" i="3"/>
  <c r="C109" i="3"/>
  <c r="C102" i="3"/>
  <c r="C101" i="3" s="1"/>
  <c r="J72" i="3" l="1"/>
  <c r="J69" i="3" s="1"/>
  <c r="J68" i="3" s="1"/>
  <c r="K73" i="3"/>
  <c r="J24" i="3"/>
  <c r="J7" i="3" s="1"/>
  <c r="J6" i="3" s="1"/>
  <c r="K26" i="3"/>
  <c r="K36" i="3"/>
  <c r="K33" i="3" s="1"/>
  <c r="N39" i="3"/>
  <c r="N130" i="3"/>
  <c r="K125" i="3"/>
  <c r="N126" i="3"/>
  <c r="M126" i="3"/>
  <c r="C125" i="3"/>
  <c r="C106" i="3"/>
  <c r="M106" i="3" s="1"/>
  <c r="M109" i="3"/>
  <c r="N102" i="3"/>
  <c r="K101" i="3"/>
  <c r="N101" i="3" s="1"/>
  <c r="N49" i="3"/>
  <c r="K88" i="3"/>
  <c r="N88" i="3" s="1"/>
  <c r="N89" i="3"/>
  <c r="M101" i="3"/>
  <c r="N36" i="3"/>
  <c r="L81" i="3"/>
  <c r="M85" i="3"/>
  <c r="M102" i="3"/>
  <c r="N78" i="3"/>
  <c r="N33" i="3"/>
  <c r="K106" i="3"/>
  <c r="M91" i="3"/>
  <c r="N91" i="3"/>
  <c r="N48" i="3"/>
  <c r="N57" i="3"/>
  <c r="M94" i="3"/>
  <c r="N94" i="3"/>
  <c r="M125" i="3"/>
  <c r="K72" i="3" l="1"/>
  <c r="N73" i="3"/>
  <c r="K24" i="3"/>
  <c r="N24" i="3" s="1"/>
  <c r="N26" i="3"/>
  <c r="K85" i="3"/>
  <c r="K81" i="3" s="1"/>
  <c r="N75" i="3"/>
  <c r="N106" i="3"/>
  <c r="C100" i="3"/>
  <c r="C99" i="3" s="1"/>
  <c r="K69" i="3" l="1"/>
  <c r="N72" i="3"/>
  <c r="N81" i="3"/>
  <c r="N85" i="3"/>
  <c r="M100" i="3"/>
  <c r="M99" i="3"/>
  <c r="C81" i="3"/>
  <c r="M81" i="3" s="1"/>
  <c r="C57" i="3"/>
  <c r="M57" i="3" s="1"/>
  <c r="C41" i="3"/>
  <c r="M41" i="3" s="1"/>
  <c r="C33" i="3"/>
  <c r="M33" i="3" s="1"/>
  <c r="M24" i="3"/>
  <c r="C14" i="3"/>
  <c r="M14" i="3" s="1"/>
  <c r="K68" i="3" l="1"/>
  <c r="N69" i="3"/>
  <c r="M8" i="3"/>
  <c r="C68" i="3"/>
  <c r="M69" i="3"/>
  <c r="N68" i="3" l="1"/>
  <c r="K7" i="3"/>
  <c r="M68" i="3"/>
  <c r="C7" i="3"/>
  <c r="N144" i="3" l="1"/>
  <c r="C6" i="3"/>
  <c r="N125" i="3" l="1"/>
  <c r="N100" i="3" l="1"/>
  <c r="K99" i="3"/>
  <c r="K6" i="3" s="1"/>
  <c r="N99" i="3" l="1"/>
  <c r="H85" i="3" l="1"/>
  <c r="H81" i="3" s="1"/>
  <c r="H7" i="3" s="1"/>
  <c r="H6" i="3" s="1"/>
  <c r="I7" i="3"/>
  <c r="I6" i="3" s="1"/>
  <c r="I48" i="3"/>
  <c r="N55" i="3"/>
  <c r="M56" i="3"/>
  <c r="N56" i="3"/>
  <c r="M55" i="3"/>
  <c r="L7" i="3"/>
  <c r="M7" i="3" s="1"/>
  <c r="N7" i="3" l="1"/>
  <c r="L6" i="3"/>
  <c r="M6" i="3" l="1"/>
  <c r="N6" i="3"/>
</calcChain>
</file>

<file path=xl/sharedStrings.xml><?xml version="1.0" encoding="utf-8"?>
<sst xmlns="http://schemas.openxmlformats.org/spreadsheetml/2006/main" count="338" uniqueCount="333">
  <si>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</si>
  <si>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</si>
  <si>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</si>
  <si>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</si>
  <si>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</si>
  <si>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</si>
  <si>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</si>
  <si>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</si>
  <si>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</si>
  <si>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</si>
  <si>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</si>
  <si>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</si>
  <si>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</si>
  <si>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</si>
  <si>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</si>
  <si>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</si>
  <si>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</si>
  <si>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</si>
  <si>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</si>
  <si>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</si>
  <si>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</si>
  <si>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</si>
  <si>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</si>
  <si>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</si>
  <si>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</si>
  <si>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</si>
  <si>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</si>
  <si>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</si>
  <si>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</si>
  <si>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</si>
  <si>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</si>
  <si>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</si>
  <si>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</si>
  <si>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</si>
  <si>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</si>
  <si>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</si>
  <si>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</si>
  <si>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</si>
  <si>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</si>
  <si>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</si>
  <si>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</si>
  <si>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</si>
  <si>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</si>
  <si>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</si>
  <si>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</si>
  <si>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</si>
  <si>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</si>
  <si>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</si>
  <si>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</si>
  <si>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</si>
  <si>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</si>
  <si>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</si>
  <si>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</si>
  <si>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</si>
  <si>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</si>
  <si>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</si>
  <si>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</si>
  <si>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</si>
  <si>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</si>
  <si>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</si>
  <si>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</si>
  <si>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</si>
  <si>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</si>
  <si>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000 1 06 06042 04 0000 110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</si>
  <si>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</si>
  <si>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</si>
  <si>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</si>
  <si>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</si>
  <si>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</si>
  <si>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</si>
  <si>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</si>
  <si>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</si>
  <si>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</si>
  <si>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</si>
  <si>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</si>
  <si>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</si>
  <si>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</si>
  <si>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</si>
  <si>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</si>
  <si>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</si>
  <si>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</si>
  <si>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</si>
  <si>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</si>
  <si>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</si>
  <si>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</si>
  <si>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</si>
  <si>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 xml:space="preserve">  Прочие налоги и сборы (по отмененным местным налогам и сборам)</t>
  </si>
  <si>
    <t>000 1 09 07000 00 0000 110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</si>
  <si>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</si>
  <si>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</si>
  <si>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</si>
  <si>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</si>
  <si>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</si>
  <si>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</si>
  <si>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</si>
  <si>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</si>
  <si>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</si>
  <si>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</si>
  <si>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</si>
  <si>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</si>
  <si>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</si>
  <si>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</si>
  <si>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</si>
  <si>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</si>
  <si>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000 1 11 09040 00 0000 120</t>
  </si>
  <si>
    <t>000 1 11 09044 04 0000 120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</si>
  <si>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</si>
  <si>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</si>
  <si>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</si>
  <si>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</si>
  <si>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</si>
  <si>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</si>
  <si>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</si>
  <si>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</si>
  <si>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</si>
  <si>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</si>
  <si>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</si>
  <si>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</si>
  <si>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</si>
  <si>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</si>
  <si>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</si>
  <si>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</si>
  <si>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</si>
  <si>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</si>
  <si>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</si>
  <si>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</si>
  <si>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округов</t>
  </si>
  <si>
    <t>000 1 13 02994 04 0000 130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</si>
  <si>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</si>
  <si>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</si>
  <si>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</si>
  <si>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</si>
  <si>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</si>
  <si>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</si>
  <si>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</si>
  <si>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</si>
  <si>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</si>
  <si>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</si>
  <si>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</si>
  <si>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</si>
  <si>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</si>
  <si>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</si>
  <si>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</si>
  <si>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</si>
  <si>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</si>
  <si>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</si>
  <si>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</si>
  <si>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</si>
  <si>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 xml:space="preserve">  ШТРАФЫ, САНКЦИИ, ВОЗМЕЩЕНИЕ УЩЕРБА</t>
  </si>
  <si>
    <t>000 1 16 00000 00 0000 000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</si>
  <si>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</si>
  <si>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</si>
  <si>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</si>
  <si>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</si>
  <si>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округов</t>
  </si>
  <si>
    <t>000 1 17 01040 04 0000 180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</si>
  <si>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</si>
  <si>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</si>
  <si>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округов</t>
  </si>
  <si>
    <t>000 1 17 05040 04 0000 180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</si>
  <si>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</si>
  <si>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</si>
  <si>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</si>
  <si>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</si>
  <si>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</si>
  <si>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</si>
  <si>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</si>
  <si>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</si>
  <si>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городских округов на поддержку мер по обеспечению сбалансированности бюджетов</t>
  </si>
  <si>
    <t>000 2 02 15002 04 0000 150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</si>
  <si>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</si>
  <si>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</si>
  <si>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</si>
  <si>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</si>
  <si>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городских округов на реализацию мероприятий по обеспечению жильем молодых семей</t>
  </si>
  <si>
    <t>000 2 02 25497 04 0000 150</t>
  </si>
  <si>
    <t xml:space="preserve">  Субсидия бюджетам на поддержку отрасли культуры</t>
  </si>
  <si>
    <t>000 2 02 25519 00 0000 150</t>
  </si>
  <si>
    <t xml:space="preserve">  Субсидия бюджетам городских округов на поддержку отрасли культуры</t>
  </si>
  <si>
    <t>000 2 02 25519 04 0000 150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</si>
  <si>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</si>
  <si>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</si>
  <si>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</si>
  <si>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</si>
  <si>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  Прочие субсидии</t>
  </si>
  <si>
    <t>000 2 02 29999 00 0000 150</t>
  </si>
  <si>
    <t xml:space="preserve">  Прочие субсидии бюджетам городских округов</t>
  </si>
  <si>
    <t>000 2 02 29999 04 0000 150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</si>
  <si>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</si>
  <si>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</si>
  <si>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</si>
  <si>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</si>
  <si>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</si>
  <si>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</si>
  <si>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</si>
  <si>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</si>
  <si>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</si>
  <si>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</si>
  <si>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</si>
  <si>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</si>
  <si>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</si>
  <si>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</si>
  <si>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</si>
  <si>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</si>
  <si>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</si>
  <si>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</si>
  <si>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</si>
  <si>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</si>
  <si>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городских округов на государственную регистрацию актов гражданского состояния</t>
  </si>
  <si>
    <t>000 2 02 35930 04 0000 150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</si>
  <si>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</si>
  <si>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</si>
  <si>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</si>
  <si>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</si>
  <si>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</si>
  <si>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</si>
  <si>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Наименование доходов</t>
  </si>
  <si>
    <t>Доходы, всего:</t>
  </si>
  <si>
    <t>000 2 02 25243 04 0000 150</t>
  </si>
  <si>
    <t>000 2 02 25243 00 0000 150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</si>
  <si>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</si>
  <si>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</si>
  <si>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Код бюджетной классификации (без указания кода главного администратора доходов бюджета)</t>
  </si>
  <si>
    <t>Фактическое исполнение, 
тыс. руб.</t>
  </si>
  <si>
    <t>% исполнения первона-чального плана</t>
  </si>
  <si>
    <t>% исполнения уточнен-ного плана</t>
  </si>
  <si>
    <t>Пояснения отклонений от плановых значений</t>
  </si>
  <si>
    <t>Перевыполнение плана обусловлено незапланированым выкупом земельных участков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</si>
  <si>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</si>
  <si>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</si>
  <si>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</si>
  <si>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</si>
  <si>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</si>
  <si>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</si>
  <si>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</si>
  <si>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</si>
  <si>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</si>
  <si>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</si>
  <si>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</si>
  <si>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</si>
  <si>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000 2 02 19999 00 0000 150</t>
  </si>
  <si>
    <t>Прочие дотации</t>
  </si>
  <si>
    <t>000 2 02 19999 04 0000 150</t>
  </si>
  <si>
    <t>Прочие дотации бюджетам городских округов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</si>
  <si>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</si>
  <si>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</si>
  <si>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</si>
  <si>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</si>
  <si>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000 2 02 35304 00 0000 150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</si>
  <si>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</si>
  <si>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</si>
  <si>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</si>
  <si>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</si>
  <si>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</si>
  <si>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</si>
  <si>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</si>
  <si>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</si>
  <si>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000 2 02 25229 04 0000 150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</si>
  <si>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</si>
  <si>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000 2 02 25229 00 0000 150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</si>
  <si>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</si>
  <si>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000 2 02 35469 04 0000 150</t>
  </si>
  <si>
    <t xml:space="preserve">Субвенции бюджетам городских округов на проведение Всероссийской переписи населения
</t>
  </si>
  <si>
    <t xml:space="preserve">Субвенции бюджетам на проведение Всероссийской переписи населения
</t>
  </si>
  <si>
    <t>000 2 02 35469 00 0000 150</t>
  </si>
  <si>
    <t>000 2 02 36900 04 0000 150</t>
  </si>
  <si>
    <t>Единая субвенция бюджетам городских округов из бюджета субъекта Российской Федерации</t>
  </si>
  <si>
    <t>000 2 02 36900 00 0000 150</t>
  </si>
  <si>
    <t xml:space="preserve">Единая субвенция местным бюджетам из бюджета субъекта Российской Федерации
</t>
  </si>
  <si>
    <t>000 2 02 45454 04 0000 150</t>
  </si>
  <si>
    <t>000 2 02 45454 00 0000 150</t>
  </si>
  <si>
    <t xml:space="preserve">Межбюджетные трансферты, передаваемые бюджетам городских округов на создание модельных муниципальных библиотек
</t>
  </si>
  <si>
    <t xml:space="preserve">Межбюджетные трансферты, передаваемые бюджетам на создание модельных муниципальных библиотек
</t>
  </si>
  <si>
    <t>000 1 05 01000 01 0000 110</t>
  </si>
  <si>
    <t xml:space="preserve">Налог, взимаемый в связи с применением упрощенной системы налогообложения
</t>
  </si>
  <si>
    <t>000 2 02 39999 04 0000 150</t>
  </si>
  <si>
    <t>Прочие субвенции</t>
  </si>
  <si>
    <t>000 2 02 39999 00 0000 150</t>
  </si>
  <si>
    <t>Прочие субвенции бюджетам городских округов</t>
  </si>
  <si>
    <t>Уменьшение поступлений от штрафов установленных Кодексом Российской Федерации об административных правонарушениях</t>
  </si>
  <si>
    <t>Перевыполнение плана обусловлено увеличением поступлением доходов от уплаты акцизов на дизельное топливо и автомобильный бензин</t>
  </si>
  <si>
    <t>Перевыполнение плана по налогу на имущество физических лиц и земельному налогу объясняется гашением задолженности.</t>
  </si>
  <si>
    <t>Невыполнение плана по субсидиям связано с тем, что перечисление межбюджетных трансфертов производилось в пределах сумм, необходимых для оплаты денежных обязательств по фактическим предоставленным расходам получателей средств бюджета городского округа</t>
  </si>
  <si>
    <t>Невыполнение плана связано с тем, что перечисление субстдий и субвенций  производилось в пределах сумм, необходимых для оплаты денежных обязательств по фактическим расходов получателей средств бюджета городского округа</t>
  </si>
  <si>
    <t>Невыполнение плана по субвенциям связано с тем, что перечисление межбюджетных трансфертов производилось в пределах сумм, необходимых для оплаты денежных обязательств по фактическим расходам получателей средств бюджета городского округа</t>
  </si>
  <si>
    <t>План по  муниципальному правовому акту о бюджете от 27.12.2021 № 294-МПА (первоначальный), тыс. руб.</t>
  </si>
  <si>
    <t>План по  муниципальному правовому акту о бюджете от 24.02.2022 № 307-МПА (первоначальный), тыс. руб.</t>
  </si>
  <si>
    <t>План по  муниципальному правовому акту о бюджете от 12.04.2022 № 318-МПА (первоначальный), тыс. руб.</t>
  </si>
  <si>
    <t>План по  муниципальному правовому акту о бюджете от 25.05.2022 № 326-МПА (первоначальный), тыс. руб.</t>
  </si>
  <si>
    <t>План по  муниципальному правовому акту о бюджете от 29.06.2022 № 332-МПА (первоначальный), тыс. руб.</t>
  </si>
  <si>
    <t>000 1 11 09080 04 0000 120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</si>
  <si>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</si>
  <si>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</si>
  <si>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>План по  муниципальному правовому акту о бюджете от 20.07.2022 № 335-МПА (первоначальный), тыс. руб.</t>
  </si>
  <si>
    <t>000 2 02 25511 00 0000 150</t>
  </si>
  <si>
    <t>000 2 02 25511 04 0000 150</t>
  </si>
  <si>
    <t xml:space="preserve">Субсидии бюджетам на проведение комплексных кадастровых работ
</t>
  </si>
  <si>
    <t>Субсидии бюджетам городских округов на проведение комплексных кадастровых работ</t>
  </si>
  <si>
    <t xml:space="preserve">000 2 02 49999 00 0000 150 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</si>
  <si>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</si>
  <si>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</si>
  <si>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План по  муниципальному правовому акту о бюджете от 28.09.2022 № 1-МПА (первоначальный), тыс. руб.</t>
  </si>
  <si>
    <t>000 2 02 45505 00 0000 150</t>
  </si>
  <si>
    <t>000 2 02 45505 04 0000 150</t>
  </si>
  <si>
    <t xml:space="preserve"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</si>
  <si>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</si>
  <si>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>План по  муниципальному правовому акту о бюджете от 01.12.2022 № 10-МПА (первоначальный), тыс. руб.</t>
  </si>
  <si>
    <t>План по муниципальному правовому акту о бюджете от 28.12.20221 №18-МПА (уточненный), тыс. руб.</t>
  </si>
  <si>
    <t>000 1 11 05020 00 0000 120</t>
  </si>
  <si>
    <t>000 1 11 05024 00 0000 120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</si>
  <si>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</si>
  <si>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</si>
  <si>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</si>
  <si>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</si>
  <si>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000 1 13 01000 00 0000 130</t>
  </si>
  <si>
    <t xml:space="preserve">Доходы от оказания платных услуг (работ)
</t>
  </si>
  <si>
    <t>000 1 13 01074 04 0000 130</t>
  </si>
  <si>
    <t xml:space="preserve">Доходы от оказания информационных услуг органами местного самоуправления городских округов, казенными учреждениями городских округов
</t>
  </si>
  <si>
    <t>000 2 19 35930 04 0000 150</t>
  </si>
  <si>
    <t xml:space="preserve">Возврат остатков субвенций на государственную регистрацию актов гражданского состояния из бюджетов городских округов
</t>
  </si>
  <si>
    <t xml:space="preserve">Перевыполнение плана объясняется увеличением на основании Закона Приморского края от 21 декабря 2021 года  № 31-КЗ «О краевом бюджете на 2022 год и плановый период 2023 и 2024 годов» с 1 января 2022 года процента отчисления по дополнительному нормативу отчислений от данного налога в местный бюджет (2022 году – 29,9644476 %, в 2021 году – 21,7365570 %). </t>
  </si>
  <si>
    <t>Перевыполнение плана по НДФЛ произошло вследствие выплаты начисленной заработной платы всем бюджетным, казенным и автономным учреждениям Арсеньевского городского округа за декабрь в декабре 2022 года, а также выплатой ПАО ААК «Прогресс» вознаграждения за выслугу лет в конце 2022 года.  Кроме этого, в декабре 2022 года в бюджет Арсеньевского городского округа поступил налог на доходы физических лиц от Министерства обороны, удержанный с денежного довольствия, за ноябрь и декабрь 2022 года.</t>
  </si>
  <si>
    <t xml:space="preserve">Перевыполнение плана объясняется увеличением количества плательщиков налога, взимаемого в связи с применением патентной системы налогообложения и налога, взимаемого в связи с применением упрощенной системы налогообложения. </t>
  </si>
  <si>
    <t>Увеличение поступления по налогу, взимаемому в связи с применением упрощенной системы налогообложения объясняется тем, что с 1 января 2022 года согласно закона Приморского края № 31-КЗ от 21 декабря 2021 года «О краевом бюджете на 2022 год и плановый период 2023 и 2024 годов» установлен дифференцированный норматив отчислений в местный бюджет по налогу в Арсеньевский городской округ в размере 55,669364%. Ранее, на основании Закона Приморского края от 02 апреля 2019 года № 473-КЗ «Об установлении единого норматива отчислений в бюджеты муниципальных районов, муниципальных округов и городских округов Приморского края от налога, взимаемого в связи с применением упрощенной системы налогообложения», отчисления по данному налогу производились в размере 2%.</t>
  </si>
  <si>
    <t>Перевыполнение плана по данному налогу объясняется увеличением объема плательщиков, применяющих патентную систему налогообложения,а также в связи с окончанием налоговых каникул в 4 квартале 2022 года по данному спец.режиму</t>
  </si>
  <si>
    <t>Рост поступлений по земельному налогу связан с отменой налоговых льгот по данному налогу для  муниципальных бюджетных, автономных и казенных учреждений, утвержденного  муниципальным правовым актом Арсеньевского городского округа № 289-МПА от 25 ноября 2021 года</t>
  </si>
  <si>
    <t>В соответствии с Законом Приморского края от 05 июля 2019 года  N 525-КЗ "О единой дате начала применения на территории Приморского края порядка определения налоговой базы по налогу на имущество физических лиц исходя из кадастровой стоимости объектов налогообложения" в 2021 году налог на имущество физических лиц исчисляется исходя из кадастровой стоимости. В связи с этим, в целях недопущения резкого роста налоговой нагрузки на налогоплательщиков за первые три налоговых периода с начала расчета налога по кадастровой стоимости предусмотрены понижающие коэффициенты. Это повлияло на рост поступлений по данному налогу.                                  Помимо этого, согласно п.7 ст.3 муниципального правового акта Арсеньевского городского округа №139-МПА от 30 октября 2019 года «О налоге на имущество физических лиц», по объектам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 увеличена налоговая ставка с 1,0% до 2,0% начиная с 2021 года.</t>
  </si>
  <si>
    <t xml:space="preserve">Перевыполнение плана по аренде земли и имущества произошло в результате активной претензионно-исковой работы с задолженниками </t>
  </si>
  <si>
    <t xml:space="preserve">Перевыполнение плана обусловлено незапланированым выкупом земельных участков и объектов муниципального имущества </t>
  </si>
  <si>
    <t xml:space="preserve">Перевыполнение плана обусловлено незапланированым выкупом объектов муниципального имущества </t>
  </si>
  <si>
    <t>В 2021 году плата, в рамках договоров за предоставление права на размещение и эксплуатацию нестационарного торгового объекта, поступала в раздел прочие неналоговые доходы. Приказом финансового управления администрации Арсеньевского городского округа данный вид дохода в 2022 году зачисляется по КБК 111 09080 04 0000 120 (плата,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разграничена), относящийся к прочим поступлениям за использование имущества. В связи с этим, снизилось поступление по прочим неналоговым доходам в 2022 году</t>
  </si>
  <si>
    <t xml:space="preserve">Рост поступлений, связан с принятием приказа финансового управления администрации Арсеньевского городского округа, согласно которому плата, в рамках договоров за предоставление права на размещение и эксплуатацию нестационарного торгового объекта в 2022 году зачисляется по КБК 111 09080 04 0000 120. Ранее данный вид доход зачислялся в раздел прочих неналоговых доходов. </t>
  </si>
  <si>
    <t>Сведения о фактических поступлениях доходов по видам деятельности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</si>
</sst>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dd\.mm\.yyyy"/>
    <numFmt numFmtId="165" formatCode="#,##0.00_ ;\-#,##0.00"/>
    <numFmt numFmtId="166" formatCode="0.0%"/>
    <numFmt numFmtId="167" formatCode="#,##0.00000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</font>
    <font>
      <sz val="1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204"/>
    </font>
    <font>
      <b/>
      <sz val="8"/>
      <name val="Arial Cyr"/>
    </font>
    <font>
      <b/>
      <sz val="11"/>
      <name val="Calibri"/>
      <family val="2"/>
      <scheme val="minor"/>
    </font>
    <font>
      <sz val="14"/>
      <name val="Arial Cyr"/>
    </font>
    <font>
      <b/>
      <sz val="12"/>
      <name val="Arial Cyr"/>
    </font>
    <font>
      <sz val="10"/>
      <color rgb="FF00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3">
    <xf numFmtId="0" fontId="0" fillId="0" borderId="0"/>
    <xf numFmtId="0" fontId="2" fillId="0" borderId="1"/>
    <xf numFmtId="0" fontId="3" fillId="0" borderId="1">
      <alignment horizontal="center"/>
    </xf>
    <xf numFmtId="0" fontId="4" fillId="0" borderId="2">
      <alignment horizontal="center"/>
    </xf>
    <xf numFmtId="0" fontId="5" fillId="0" borderId="1">
      <alignment horizontal="right"/>
    </xf>
    <xf numFmtId="0" fontId="3" fillId="0" borderId="1"/>
    <xf numFmtId="0" fontId="6" fillId="0" borderId="1"/>
    <xf numFmtId="0" fontId="6" fillId="0" borderId="3"/>
    <xf numFmtId="0" fontId="4" fillId="0" borderId="4">
      <alignment horizontal="center"/>
    </xf>
    <xf numFmtId="0" fontId="5" fillId="0" borderId="5">
      <alignment horizontal="right"/>
    </xf>
    <xf numFmtId="0" fontId="4" fillId="0" borderId="1"/>
    <xf numFmtId="0" fontId="4" fillId="0" borderId="6">
      <alignment horizontal="right"/>
    </xf>
    <xf numFmtId="49" fontId="4" fillId="0" borderId="7">
      <alignment horizontal="center"/>
    </xf>
    <xf numFmtId="0" fontId="5" fillId="0" borderId="8">
      <alignment horizontal="right"/>
    </xf>
    <xf numFmtId="0" fontId="7" fillId="0" borderId="1"/>
    <xf numFmtId="164" fontId="4" fillId="0" borderId="9">
      <alignment horizontal="center"/>
    </xf>
    <xf numFmtId="0" fontId="4" fillId="0" borderId="1">
      <alignment horizontal="left"/>
    </xf>
    <xf numFmtId="49" fontId="4" fillId="0" borderId="1"/>
    <xf numFmtId="49" fontId="4" fillId="0" borderId="6">
      <alignment horizontal="right" vertical="center"/>
    </xf>
    <xf numFmtId="49" fontId="4" fillId="0" borderId="9">
      <alignment horizontal="center" vertical="center"/>
    </xf>
    <xf numFmtId="0" fontId="4" fillId="0" borderId="2">
      <alignment horizontal="left" wrapText="1"/>
    </xf>
    <xf numFmtId="49" fontId="4" fillId="0" borderId="9">
      <alignment horizontal="center"/>
    </xf>
    <xf numFmtId="0" fontId="4" fillId="0" borderId="10">
      <alignment horizontal="left" wrapText="1"/>
    </xf>
    <xf numFmtId="49" fontId="4" fillId="0" borderId="6">
      <alignment horizontal="right"/>
    </xf>
    <xf numFmtId="0" fontId="4" fillId="0" borderId="11">
      <alignment horizontal="left"/>
    </xf>
    <xf numFmtId="49" fontId="4" fillId="0" borderId="11"/>
    <xf numFmtId="49" fontId="4" fillId="0" borderId="6"/>
    <xf numFmtId="49" fontId="4" fillId="0" borderId="12">
      <alignment horizontal="center"/>
    </xf>
    <xf numFmtId="0" fontId="3" fillId="0" borderId="2">
      <alignment horizontal="center"/>
    </xf>
    <xf numFmtId="0" fontId="4" fillId="0" borderId="13">
      <alignment horizontal="center" vertical="top" wrapText="1"/>
    </xf>
    <xf numFmtId="49" fontId="4" fillId="0" borderId="13">
      <alignment horizontal="center" vertical="top" wrapText="1"/>
    </xf>
    <xf numFmtId="0" fontId="2" fillId="0" borderId="14"/>
    <xf numFmtId="0" fontId="2" fillId="0" borderId="5"/>
    <xf numFmtId="0" fontId="4" fillId="0" borderId="13">
      <alignment horizontal="center" vertical="center"/>
    </xf>
    <xf numFmtId="0" fontId="4" fillId="0" borderId="4">
      <alignment horizontal="center" vertical="center"/>
    </xf>
    <xf numFmtId="49" fontId="4" fillId="0" borderId="4">
      <alignment horizontal="center" vertical="center"/>
    </xf>
    <xf numFmtId="0" fontId="4" fillId="0" borderId="15">
      <alignment horizontal="left" wrapText="1"/>
    </xf>
    <xf numFmtId="49" fontId="4" fillId="0" borderId="16">
      <alignment horizontal="center" wrapText="1"/>
    </xf>
    <xf numFmtId="49" fontId="4" fillId="0" borderId="17">
      <alignment horizontal="center"/>
    </xf>
    <xf numFmtId="4" fontId="4" fillId="0" borderId="17">
      <alignment horizontal="right" shrinkToFit="1"/>
    </xf>
    <xf numFmtId="0" fontId="4" fillId="0" borderId="18">
      <alignment horizontal="left" wrapText="1"/>
    </xf>
    <xf numFmtId="49" fontId="4" fillId="0" borderId="19">
      <alignment horizontal="center" shrinkToFit="1"/>
    </xf>
    <xf numFmtId="49" fontId="4" fillId="0" borderId="20">
      <alignment horizontal="center"/>
    </xf>
    <xf numFmtId="4" fontId="4" fillId="0" borderId="20">
      <alignment horizontal="right" shrinkToFit="1"/>
    </xf>
    <xf numFmtId="0" fontId="4" fillId="0" borderId="21">
      <alignment horizontal="left" wrapText="1" indent="2"/>
    </xf>
    <xf numFmtId="49" fontId="4" fillId="0" borderId="22">
      <alignment horizontal="center" shrinkToFit="1"/>
    </xf>
    <xf numFmtId="49" fontId="4" fillId="0" borderId="23">
      <alignment horizontal="center"/>
    </xf>
    <xf numFmtId="4" fontId="4" fillId="0" borderId="23">
      <alignment horizontal="right" shrinkToFit="1"/>
    </xf>
    <xf numFmtId="49" fontId="4" fillId="0" borderId="1">
      <alignment horizontal="right"/>
    </xf>
    <xf numFmtId="0" fontId="3" fillId="0" borderId="5">
      <alignment horizontal="center"/>
    </xf>
    <xf numFmtId="0" fontId="4" fillId="0" borderId="4">
      <alignment horizontal="center" vertical="center" shrinkToFit="1"/>
    </xf>
    <xf numFmtId="49" fontId="4" fillId="0" borderId="4">
      <alignment horizontal="center" vertical="center" shrinkToFit="1"/>
    </xf>
    <xf numFmtId="49" fontId="2" fillId="0" borderId="5"/>
    <xf numFmtId="0" fontId="4" fillId="0" borderId="16">
      <alignment horizontal="center" shrinkToFit="1"/>
    </xf>
    <xf numFmtId="4" fontId="4" fillId="0" borderId="24">
      <alignment horizontal="right" shrinkToFit="1"/>
    </xf>
    <xf numFmtId="49" fontId="2" fillId="0" borderId="8"/>
    <xf numFmtId="0" fontId="4" fillId="0" borderId="19">
      <alignment horizontal="center" shrinkToFit="1"/>
    </xf>
    <xf numFmtId="165" fontId="4" fillId="0" borderId="20">
      <alignment horizontal="right" shrinkToFit="1"/>
    </xf>
    <xf numFmtId="165" fontId="4" fillId="0" borderId="25">
      <alignment horizontal="right" shrinkToFit="1"/>
    </xf>
    <xf numFmtId="0" fontId="4" fillId="0" borderId="26">
      <alignment horizontal="left" wrapText="1"/>
    </xf>
    <xf numFmtId="49" fontId="4" fillId="0" borderId="22">
      <alignment horizontal="center" wrapText="1"/>
    </xf>
    <xf numFmtId="49" fontId="4" fillId="0" borderId="23">
      <alignment horizontal="center" wrapText="1"/>
    </xf>
    <xf numFmtId="4" fontId="4" fillId="0" borderId="23">
      <alignment horizontal="right" wrapText="1"/>
    </xf>
    <xf numFmtId="4" fontId="4" fillId="0" borderId="21">
      <alignment horizontal="right" wrapText="1"/>
    </xf>
    <xf numFmtId="0" fontId="2" fillId="0" borderId="8">
      <alignment wrapText="1"/>
    </xf>
    <xf numFmtId="0" fontId="4" fillId="0" borderId="27">
      <alignment horizontal="left" wrapText="1"/>
    </xf>
    <xf numFmtId="49" fontId="4" fillId="0" borderId="28">
      <alignment horizontal="center" shrinkToFit="1"/>
    </xf>
    <xf numFmtId="49" fontId="4" fillId="0" borderId="29">
      <alignment horizontal="center"/>
    </xf>
    <xf numFmtId="4" fontId="4" fillId="0" borderId="29">
      <alignment horizontal="right" shrinkToFit="1"/>
    </xf>
    <xf numFmtId="49" fontId="4" fillId="0" borderId="30">
      <alignment horizontal="center"/>
    </xf>
    <xf numFmtId="0" fontId="2" fillId="0" borderId="8"/>
    <xf numFmtId="0" fontId="7" fillId="0" borderId="11"/>
    <xf numFmtId="0" fontId="7" fillId="0" borderId="31"/>
    <xf numFmtId="0" fontId="4" fillId="0" borderId="1">
      <alignment wrapText="1"/>
    </xf>
    <xf numFmtId="49" fontId="4" fillId="0" borderId="1">
      <alignment wrapText="1"/>
    </xf>
    <xf numFmtId="49" fontId="4" fillId="0" borderId="1">
      <alignment horizontal="center"/>
    </xf>
    <xf numFmtId="49" fontId="8" fillId="0" borderId="1"/>
    <xf numFmtId="0" fontId="4" fillId="0" borderId="2">
      <alignment horizontal="left"/>
    </xf>
    <xf numFmtId="49" fontId="4" fillId="0" borderId="2">
      <alignment horizontal="left"/>
    </xf>
    <xf numFmtId="0" fontId="4" fillId="0" borderId="2">
      <alignment horizontal="center" shrinkToFit="1"/>
    </xf>
    <xf numFmtId="49" fontId="4" fillId="0" borderId="2">
      <alignment horizontal="center" vertical="center" shrinkToFit="1"/>
    </xf>
    <xf numFmtId="49" fontId="2" fillId="0" borderId="2">
      <alignment shrinkToFit="1"/>
    </xf>
    <xf numFmtId="49" fontId="4" fillId="0" borderId="2">
      <alignment horizontal="right"/>
    </xf>
    <xf numFmtId="0" fontId="4" fillId="0" borderId="16">
      <alignment horizontal="center" vertical="center" shrinkToFit="1"/>
    </xf>
    <xf numFmtId="49" fontId="4" fillId="0" borderId="17">
      <alignment horizontal="center" vertical="center"/>
    </xf>
    <xf numFmtId="0" fontId="4" fillId="0" borderId="15">
      <alignment horizontal="left" wrapText="1" indent="2"/>
    </xf>
    <xf numFmtId="0" fontId="4" fillId="0" borderId="32">
      <alignment horizontal="center" vertical="center" shrinkToFit="1"/>
    </xf>
    <xf numFmtId="49" fontId="4" fillId="0" borderId="13">
      <alignment horizontal="center" vertical="center"/>
    </xf>
    <xf numFmtId="165" fontId="4" fillId="0" borderId="13">
      <alignment horizontal="right" vertical="center" shrinkToFit="1"/>
    </xf>
    <xf numFmtId="165" fontId="4" fillId="0" borderId="27">
      <alignment horizontal="right" vertical="center" shrinkToFit="1"/>
    </xf>
    <xf numFmtId="0" fontId="4" fillId="0" borderId="33">
      <alignment horizontal="left" wrapText="1"/>
    </xf>
    <xf numFmtId="4" fontId="4" fillId="0" borderId="13">
      <alignment horizontal="right" shrinkToFit="1"/>
    </xf>
    <xf numFmtId="4" fontId="4" fillId="0" borderId="27">
      <alignment horizontal="right" shrinkToFit="1"/>
    </xf>
    <xf numFmtId="0" fontId="4" fillId="0" borderId="18">
      <alignment horizontal="left" wrapText="1" indent="2"/>
    </xf>
    <xf numFmtId="0" fontId="9" fillId="0" borderId="27">
      <alignment wrapText="1"/>
    </xf>
    <xf numFmtId="0" fontId="9" fillId="0" borderId="27"/>
    <xf numFmtId="0" fontId="9" fillId="2" borderId="27">
      <alignment wrapText="1"/>
    </xf>
    <xf numFmtId="0" fontId="4" fillId="2" borderId="26">
      <alignment horizontal="left" wrapText="1"/>
    </xf>
    <xf numFmtId="49" fontId="4" fillId="0" borderId="27">
      <alignment horizontal="center" shrinkToFit="1"/>
    </xf>
    <xf numFmtId="49" fontId="4" fillId="0" borderId="13">
      <alignment horizontal="center" vertical="center" shrinkToFit="1"/>
    </xf>
    <xf numFmtId="0" fontId="2" fillId="0" borderId="11">
      <alignment horizontal="left"/>
    </xf>
    <xf numFmtId="0" fontId="2" fillId="0" borderId="31">
      <alignment horizontal="left" wrapText="1"/>
    </xf>
    <xf numFmtId="0" fontId="2" fillId="0" borderId="31">
      <alignment horizontal="left"/>
    </xf>
    <xf numFmtId="0" fontId="4" fillId="0" borderId="31"/>
    <xf numFmtId="49" fontId="2" fillId="0" borderId="31"/>
    <xf numFmtId="49" fontId="2" fillId="0" borderId="31"/>
    <xf numFmtId="0" fontId="2" fillId="0" borderId="1">
      <alignment horizontal="left"/>
    </xf>
    <xf numFmtId="0" fontId="2" fillId="0" borderId="1">
      <alignment horizontal="left" wrapText="1"/>
    </xf>
    <xf numFmtId="0" fontId="2" fillId="0" borderId="1">
      <alignment horizontal="left"/>
    </xf>
    <xf numFmtId="0" fontId="4" fillId="0" borderId="1"/>
    <xf numFmtId="49" fontId="2" fillId="0" borderId="1"/>
    <xf numFmtId="49" fontId="2" fillId="0" borderId="1"/>
    <xf numFmtId="0" fontId="4" fillId="0" borderId="1">
      <alignment horizontal="center" wrapText="1"/>
    </xf>
    <xf numFmtId="0" fontId="4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2" fillId="0" borderId="1">
      <alignment horizontal="left"/>
    </xf>
    <xf numFmtId="0" fontId="2" fillId="0" borderId="1">
      <alignment horizontal="center"/>
    </xf>
    <xf numFmtId="0" fontId="8" fillId="0" borderId="1">
      <alignment horizontal="left"/>
    </xf>
    <xf numFmtId="49" fontId="2" fillId="0" borderId="1"/>
    <xf numFmtId="49" fontId="4" fillId="0" borderId="1">
      <alignment horizontal="left"/>
    </xf>
    <xf numFmtId="49" fontId="4" fillId="0" borderId="1">
      <alignment horizontal="center" wrapText="1"/>
    </xf>
    <xf numFmtId="0" fontId="4" fillId="0" borderId="1">
      <alignment horizontal="center"/>
    </xf>
    <xf numFmtId="0" fontId="10" fillId="0" borderId="11">
      <alignment horizontal="center"/>
    </xf>
    <xf numFmtId="0" fontId="7" fillId="0" borderId="1"/>
    <xf numFmtId="0" fontId="10" fillId="0" borderId="1">
      <alignment horizontal="center"/>
    </xf>
    <xf numFmtId="0" fontId="7" fillId="0" borderId="1"/>
    <xf numFmtId="0" fontId="10" fillId="0" borderId="1">
      <alignment horizontal="center"/>
    </xf>
    <xf numFmtId="0" fontId="4" fillId="0" borderId="1">
      <alignment horizontal="center" wrapText="1"/>
    </xf>
    <xf numFmtId="0" fontId="9" fillId="0" borderId="1"/>
    <xf numFmtId="0" fontId="11" fillId="0" borderId="2"/>
    <xf numFmtId="0" fontId="11" fillId="0" borderId="1"/>
    <xf numFmtId="0" fontId="2" fillId="0" borderId="2"/>
    <xf numFmtId="0" fontId="2" fillId="0" borderId="13">
      <alignment horizontal="left" wrapText="1"/>
    </xf>
    <xf numFmtId="0" fontId="2" fillId="0" borderId="11"/>
    <xf numFmtId="0" fontId="13" fillId="0" borderId="0"/>
    <xf numFmtId="0" fontId="13" fillId="0" borderId="0"/>
    <xf numFmtId="0" fontId="13" fillId="0" borderId="0"/>
    <xf numFmtId="0" fontId="11" fillId="0" borderId="1"/>
    <xf numFmtId="0" fontId="11" fillId="0" borderId="1"/>
    <xf numFmtId="0" fontId="12" fillId="3" borderId="1"/>
    <xf numFmtId="0" fontId="2" fillId="0" borderId="13">
      <alignment horizontal="left"/>
    </xf>
    <xf numFmtId="0" fontId="1" fillId="0" borderId="1"/>
    <xf numFmtId="0" fontId="21" fillId="0" borderId="1"/>
    <xf numFmtId="0" fontId="1" fillId="5" borderId="1" applyNumberFormat="0" applyBorder="0" applyAlignment="0" applyProtection="0"/>
    <xf numFmtId="0" fontId="1" fillId="5" borderId="1" applyNumberFormat="0" applyBorder="0" applyAlignment="0" applyProtection="0"/>
    <xf numFmtId="0" fontId="1" fillId="5" borderId="1" applyNumberFormat="0" applyBorder="0" applyAlignment="0" applyProtection="0"/>
    <xf numFmtId="0" fontId="1" fillId="7" borderId="1" applyNumberFormat="0" applyBorder="0" applyAlignment="0" applyProtection="0"/>
    <xf numFmtId="0" fontId="1" fillId="7" borderId="1" applyNumberFormat="0" applyBorder="0" applyAlignment="0" applyProtection="0"/>
    <xf numFmtId="0" fontId="1" fillId="7" borderId="1" applyNumberFormat="0" applyBorder="0" applyAlignment="0" applyProtection="0"/>
    <xf numFmtId="0" fontId="1" fillId="9" borderId="1" applyNumberFormat="0" applyBorder="0" applyAlignment="0" applyProtection="0"/>
    <xf numFmtId="0" fontId="1" fillId="9" borderId="1" applyNumberFormat="0" applyBorder="0" applyAlignment="0" applyProtection="0"/>
    <xf numFmtId="0" fontId="1" fillId="9" borderId="1" applyNumberFormat="0" applyBorder="0" applyAlignment="0" applyProtection="0"/>
    <xf numFmtId="0" fontId="1" fillId="11" borderId="1" applyNumberFormat="0" applyBorder="0" applyAlignment="0" applyProtection="0"/>
    <xf numFmtId="0" fontId="1" fillId="11" borderId="1" applyNumberFormat="0" applyBorder="0" applyAlignment="0" applyProtection="0"/>
    <xf numFmtId="0" fontId="1" fillId="11" borderId="1" applyNumberFormat="0" applyBorder="0" applyAlignment="0" applyProtection="0"/>
    <xf numFmtId="0" fontId="1" fillId="13" borderId="1" applyNumberFormat="0" applyBorder="0" applyAlignment="0" applyProtection="0"/>
    <xf numFmtId="0" fontId="1" fillId="13" borderId="1" applyNumberFormat="0" applyBorder="0" applyAlignment="0" applyProtection="0"/>
    <xf numFmtId="0" fontId="1" fillId="13" borderId="1" applyNumberFormat="0" applyBorder="0" applyAlignment="0" applyProtection="0"/>
    <xf numFmtId="0" fontId="1" fillId="15" borderId="1" applyNumberFormat="0" applyBorder="0" applyAlignment="0" applyProtection="0"/>
    <xf numFmtId="0" fontId="1" fillId="15" borderId="1" applyNumberFormat="0" applyBorder="0" applyAlignment="0" applyProtection="0"/>
    <xf numFmtId="0" fontId="1" fillId="15" borderId="1" applyNumberFormat="0" applyBorder="0" applyAlignment="0" applyProtection="0"/>
    <xf numFmtId="0" fontId="1" fillId="6" borderId="1" applyNumberFormat="0" applyBorder="0" applyAlignment="0" applyProtection="0"/>
    <xf numFmtId="0" fontId="1" fillId="6" borderId="1" applyNumberFormat="0" applyBorder="0" applyAlignment="0" applyProtection="0"/>
    <xf numFmtId="0" fontId="1" fillId="6" borderId="1" applyNumberFormat="0" applyBorder="0" applyAlignment="0" applyProtection="0"/>
    <xf numFmtId="0" fontId="1" fillId="8" borderId="1" applyNumberFormat="0" applyBorder="0" applyAlignment="0" applyProtection="0"/>
    <xf numFmtId="0" fontId="1" fillId="8" borderId="1" applyNumberFormat="0" applyBorder="0" applyAlignment="0" applyProtection="0"/>
    <xf numFmtId="0" fontId="1" fillId="8" borderId="1" applyNumberFormat="0" applyBorder="0" applyAlignment="0" applyProtection="0"/>
    <xf numFmtId="0" fontId="1" fillId="10" borderId="1" applyNumberFormat="0" applyBorder="0" applyAlignment="0" applyProtection="0"/>
    <xf numFmtId="0" fontId="1" fillId="10" borderId="1" applyNumberFormat="0" applyBorder="0" applyAlignment="0" applyProtection="0"/>
    <xf numFmtId="0" fontId="1" fillId="10" borderId="1" applyNumberFormat="0" applyBorder="0" applyAlignment="0" applyProtection="0"/>
    <xf numFmtId="0" fontId="1" fillId="12" borderId="1" applyNumberFormat="0" applyBorder="0" applyAlignment="0" applyProtection="0"/>
    <xf numFmtId="0" fontId="1" fillId="12" borderId="1" applyNumberFormat="0" applyBorder="0" applyAlignment="0" applyProtection="0"/>
    <xf numFmtId="0" fontId="1" fillId="12" borderId="1" applyNumberFormat="0" applyBorder="0" applyAlignment="0" applyProtection="0"/>
    <xf numFmtId="0" fontId="1" fillId="14" borderId="1" applyNumberFormat="0" applyBorder="0" applyAlignment="0" applyProtection="0"/>
    <xf numFmtId="0" fontId="1" fillId="14" borderId="1" applyNumberFormat="0" applyBorder="0" applyAlignment="0" applyProtection="0"/>
    <xf numFmtId="0" fontId="1" fillId="14" borderId="1" applyNumberFormat="0" applyBorder="0" applyAlignment="0" applyProtection="0"/>
    <xf numFmtId="0" fontId="1" fillId="16" borderId="1" applyNumberFormat="0" applyBorder="0" applyAlignment="0" applyProtection="0"/>
    <xf numFmtId="0" fontId="1" fillId="16" borderId="1" applyNumberFormat="0" applyBorder="0" applyAlignment="0" applyProtection="0"/>
    <xf numFmtId="0" fontId="1" fillId="16" borderId="1" applyNumberFormat="0" applyBorder="0" applyAlignment="0" applyProtection="0"/>
    <xf numFmtId="0" fontId="20" fillId="0" borderId="1" applyNumberFormat="0" applyFill="0" applyBorder="0" applyAlignment="0" applyProtection="0"/>
    <xf numFmtId="0" fontId="1" fillId="0" borderId="1"/>
    <xf numFmtId="0" fontId="23" fillId="0" borderId="1"/>
    <xf numFmtId="0" fontId="24" fillId="17" borderId="1"/>
    <xf numFmtId="0" fontId="23" fillId="17" borderId="1"/>
    <xf numFmtId="0" fontId="23" fillId="17" borderId="1"/>
    <xf numFmtId="0" fontId="25" fillId="0" borderId="1"/>
    <xf numFmtId="0" fontId="26" fillId="4" borderId="35" applyNumberFormat="0" applyFont="0" applyAlignment="0" applyProtection="0"/>
    <xf numFmtId="0" fontId="26" fillId="4" borderId="35" applyNumberFormat="0" applyFont="0" applyAlignment="0" applyProtection="0"/>
    <xf numFmtId="0" fontId="26" fillId="4" borderId="35" applyNumberFormat="0" applyFont="0" applyAlignment="0" applyProtection="0"/>
    <xf numFmtId="0" fontId="1" fillId="4" borderId="35" applyNumberFormat="0" applyFont="0" applyAlignment="0" applyProtection="0"/>
    <xf numFmtId="9" fontId="25" fillId="0" borderId="1" applyFont="0" applyFill="0" applyBorder="0" applyAlignment="0" applyProtection="0"/>
    <xf numFmtId="43" fontId="21" fillId="0" borderId="1" applyFont="0" applyFill="0" applyBorder="0" applyAlignment="0" applyProtection="0"/>
  </cellStyleXfs>
  <cellXfs count="100">
    <xf numFmtId="0" fontId="0" fillId="0" borderId="0" xfId="0"/>
    <xf numFmtId="0" fontId="15" fillId="0" borderId="1" xfId="1" applyNumberFormat="1" applyFont="1" applyFill="1" applyProtection="1"/>
    <xf numFmtId="0" fontId="16" fillId="0" borderId="1" xfId="0" applyFont="1" applyFill="1" applyBorder="1" applyAlignment="1">
      <alignment horizontal="center" vertical="center" wrapText="1"/>
    </xf>
    <xf numFmtId="0" fontId="19" fillId="0" borderId="1" xfId="14" applyNumberFormat="1" applyFont="1" applyFill="1" applyProtection="1"/>
    <xf numFmtId="0" fontId="28" fillId="0" borderId="0" xfId="0" applyFont="1" applyFill="1" applyProtection="1">
      <protection locked="0"/>
    </xf>
    <xf numFmtId="4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" fontId="0" fillId="0" borderId="0" xfId="0" applyNumberFormat="1" applyFont="1" applyFill="1" applyAlignment="1" applyProtection="1">
      <alignment wrapText="1"/>
      <protection locked="0"/>
    </xf>
    <xf numFmtId="0" fontId="29" fillId="0" borderId="1" xfId="2" applyNumberFormat="1" applyFont="1" applyFill="1" applyAlignment="1" applyProtection="1">
      <alignment horizontal="center"/>
    </xf>
    <xf numFmtId="0" fontId="16" fillId="18" borderId="38" xfId="0" applyFont="1" applyFill="1" applyBorder="1" applyAlignment="1">
      <alignment horizontal="center" vertical="center" wrapText="1"/>
    </xf>
    <xf numFmtId="0" fontId="16" fillId="18" borderId="39" xfId="0" applyFont="1" applyFill="1" applyBorder="1" applyAlignment="1">
      <alignment horizontal="center" vertical="center" wrapText="1"/>
    </xf>
    <xf numFmtId="0" fontId="17" fillId="18" borderId="39" xfId="0" applyFont="1" applyFill="1" applyBorder="1" applyAlignment="1">
      <alignment horizontal="center" vertical="center" wrapText="1"/>
    </xf>
    <xf numFmtId="0" fontId="17" fillId="18" borderId="39" xfId="32" applyNumberFormat="1" applyFont="1" applyFill="1" applyBorder="1" applyAlignment="1" applyProtection="1">
      <alignment horizontal="center" wrapText="1"/>
    </xf>
    <xf numFmtId="0" fontId="14" fillId="18" borderId="39" xfId="0" applyFont="1" applyFill="1" applyBorder="1" applyAlignment="1">
      <alignment horizontal="center" vertical="center" wrapText="1"/>
    </xf>
    <xf numFmtId="0" fontId="14" fillId="18" borderId="40" xfId="0" applyFont="1" applyFill="1" applyBorder="1" applyAlignment="1">
      <alignment horizontal="center" vertical="center" wrapText="1"/>
    </xf>
    <xf numFmtId="0" fontId="16" fillId="18" borderId="44" xfId="0" applyFont="1" applyFill="1" applyBorder="1" applyAlignment="1">
      <alignment horizontal="center" vertical="center" wrapText="1"/>
    </xf>
    <xf numFmtId="0" fontId="16" fillId="18" borderId="34" xfId="0" applyFont="1" applyFill="1" applyBorder="1" applyAlignment="1">
      <alignment horizontal="center" vertical="center" wrapText="1"/>
    </xf>
    <xf numFmtId="0" fontId="17" fillId="18" borderId="34" xfId="0" applyFont="1" applyFill="1" applyBorder="1" applyAlignment="1">
      <alignment horizontal="center" vertical="center" wrapText="1"/>
    </xf>
    <xf numFmtId="0" fontId="15" fillId="18" borderId="34" xfId="32" applyNumberFormat="1" applyFont="1" applyFill="1" applyBorder="1" applyAlignment="1" applyProtection="1">
      <alignment horizontal="center" vertical="center" wrapText="1"/>
    </xf>
    <xf numFmtId="0" fontId="14" fillId="18" borderId="34" xfId="0" applyFont="1" applyFill="1" applyBorder="1" applyAlignment="1">
      <alignment horizontal="center" vertical="center" wrapText="1"/>
    </xf>
    <xf numFmtId="0" fontId="14" fillId="18" borderId="45" xfId="0" applyFont="1" applyFill="1" applyBorder="1" applyAlignment="1">
      <alignment horizontal="center" vertical="center" wrapText="1"/>
    </xf>
    <xf numFmtId="49" fontId="27" fillId="18" borderId="48" xfId="38" applyNumberFormat="1" applyFont="1" applyFill="1" applyBorder="1" applyProtection="1">
      <alignment horizontal="center"/>
    </xf>
    <xf numFmtId="0" fontId="30" fillId="18" borderId="36" xfId="36" applyNumberFormat="1" applyFont="1" applyFill="1" applyBorder="1" applyProtection="1">
      <alignment horizontal="left" wrapText="1"/>
    </xf>
    <xf numFmtId="167" fontId="22" fillId="18" borderId="36" xfId="39" applyNumberFormat="1" applyFont="1" applyFill="1" applyBorder="1" applyAlignment="1" applyProtection="1">
      <alignment shrinkToFit="1"/>
    </xf>
    <xf numFmtId="166" fontId="22" fillId="18" borderId="34" xfId="0" applyNumberFormat="1" applyFont="1" applyFill="1" applyBorder="1" applyProtection="1">
      <protection locked="0"/>
    </xf>
    <xf numFmtId="4" fontId="22" fillId="18" borderId="45" xfId="0" applyNumberFormat="1" applyFont="1" applyFill="1" applyBorder="1" applyAlignment="1" applyProtection="1">
      <alignment wrapText="1"/>
      <protection locked="0"/>
    </xf>
    <xf numFmtId="49" fontId="27" fillId="18" borderId="53" xfId="46" applyNumberFormat="1" applyFont="1" applyFill="1" applyBorder="1" applyProtection="1">
      <alignment horizontal="center"/>
    </xf>
    <xf numFmtId="0" fontId="27" fillId="18" borderId="37" xfId="44" applyNumberFormat="1" applyFont="1" applyFill="1" applyBorder="1" applyProtection="1">
      <alignment horizontal="left" wrapText="1" indent="2"/>
    </xf>
    <xf numFmtId="167" fontId="22" fillId="18" borderId="37" xfId="47" applyNumberFormat="1" applyFont="1" applyFill="1" applyBorder="1" applyAlignment="1" applyProtection="1">
      <alignment shrinkToFit="1"/>
    </xf>
    <xf numFmtId="166" fontId="22" fillId="18" borderId="37" xfId="0" applyNumberFormat="1" applyFont="1" applyFill="1" applyBorder="1" applyProtection="1">
      <protection locked="0"/>
    </xf>
    <xf numFmtId="4" fontId="16" fillId="18" borderId="54" xfId="0" applyNumberFormat="1" applyFont="1" applyFill="1" applyBorder="1" applyAlignment="1" applyProtection="1">
      <alignment wrapText="1"/>
      <protection locked="0"/>
    </xf>
    <xf numFmtId="49" fontId="18" fillId="18" borderId="38" xfId="46" applyNumberFormat="1" applyFont="1" applyFill="1" applyBorder="1" applyProtection="1">
      <alignment horizontal="center"/>
    </xf>
    <xf numFmtId="0" fontId="18" fillId="18" borderId="39" xfId="44" applyNumberFormat="1" applyFont="1" applyFill="1" applyBorder="1" applyProtection="1">
      <alignment horizontal="left" wrapText="1" indent="2"/>
    </xf>
    <xf numFmtId="167" fontId="16" fillId="18" borderId="39" xfId="47" applyNumberFormat="1" applyFont="1" applyFill="1" applyBorder="1" applyAlignment="1" applyProtection="1">
      <alignment shrinkToFit="1"/>
    </xf>
    <xf numFmtId="166" fontId="22" fillId="18" borderId="39" xfId="0" applyNumberFormat="1" applyFont="1" applyFill="1" applyBorder="1" applyProtection="1">
      <protection locked="0"/>
    </xf>
    <xf numFmtId="4" fontId="16" fillId="18" borderId="40" xfId="0" applyNumberFormat="1" applyFont="1" applyFill="1" applyBorder="1" applyAlignment="1" applyProtection="1">
      <alignment wrapText="1"/>
      <protection locked="0"/>
    </xf>
    <xf numFmtId="49" fontId="18" fillId="18" borderId="41" xfId="46" applyNumberFormat="1" applyFont="1" applyFill="1" applyBorder="1" applyProtection="1">
      <alignment horizontal="center"/>
    </xf>
    <xf numFmtId="0" fontId="18" fillId="18" borderId="42" xfId="44" applyNumberFormat="1" applyFont="1" applyFill="1" applyBorder="1" applyProtection="1">
      <alignment horizontal="left" wrapText="1" indent="2"/>
    </xf>
    <xf numFmtId="167" fontId="16" fillId="18" borderId="42" xfId="47" applyNumberFormat="1" applyFont="1" applyFill="1" applyBorder="1" applyAlignment="1" applyProtection="1">
      <alignment shrinkToFit="1"/>
    </xf>
    <xf numFmtId="166" fontId="22" fillId="18" borderId="42" xfId="0" applyNumberFormat="1" applyFont="1" applyFill="1" applyBorder="1" applyProtection="1">
      <protection locked="0"/>
    </xf>
    <xf numFmtId="4" fontId="16" fillId="18" borderId="43" xfId="0" applyNumberFormat="1" applyFont="1" applyFill="1" applyBorder="1" applyAlignment="1" applyProtection="1">
      <alignment wrapText="1"/>
      <protection locked="0"/>
    </xf>
    <xf numFmtId="49" fontId="18" fillId="18" borderId="48" xfId="46" applyNumberFormat="1" applyFont="1" applyFill="1" applyBorder="1" applyProtection="1">
      <alignment horizontal="center"/>
    </xf>
    <xf numFmtId="0" fontId="18" fillId="18" borderId="36" xfId="44" applyNumberFormat="1" applyFont="1" applyFill="1" applyBorder="1" applyProtection="1">
      <alignment horizontal="left" wrapText="1" indent="2"/>
    </xf>
    <xf numFmtId="167" fontId="16" fillId="18" borderId="36" xfId="47" applyNumberFormat="1" applyFont="1" applyFill="1" applyBorder="1" applyAlignment="1" applyProtection="1">
      <alignment shrinkToFit="1"/>
    </xf>
    <xf numFmtId="166" fontId="22" fillId="18" borderId="36" xfId="0" applyNumberFormat="1" applyFont="1" applyFill="1" applyBorder="1" applyProtection="1">
      <protection locked="0"/>
    </xf>
    <xf numFmtId="4" fontId="16" fillId="18" borderId="49" xfId="0" applyNumberFormat="1" applyFont="1" applyFill="1" applyBorder="1" applyAlignment="1" applyProtection="1">
      <alignment wrapText="1"/>
      <protection locked="0"/>
    </xf>
    <xf numFmtId="49" fontId="18" fillId="18" borderId="44" xfId="46" applyNumberFormat="1" applyFont="1" applyFill="1" applyBorder="1" applyProtection="1">
      <alignment horizontal="center"/>
    </xf>
    <xf numFmtId="0" fontId="18" fillId="18" borderId="34" xfId="44" applyNumberFormat="1" applyFont="1" applyFill="1" applyBorder="1" applyProtection="1">
      <alignment horizontal="left" wrapText="1" indent="2"/>
    </xf>
    <xf numFmtId="167" fontId="16" fillId="18" borderId="34" xfId="47" applyNumberFormat="1" applyFont="1" applyFill="1" applyBorder="1" applyAlignment="1" applyProtection="1">
      <alignment shrinkToFit="1"/>
    </xf>
    <xf numFmtId="4" fontId="16" fillId="18" borderId="45" xfId="0" applyNumberFormat="1" applyFont="1" applyFill="1" applyBorder="1" applyAlignment="1" applyProtection="1">
      <alignment wrapText="1"/>
      <protection locked="0"/>
    </xf>
    <xf numFmtId="49" fontId="18" fillId="18" borderId="53" xfId="46" applyNumberFormat="1" applyFont="1" applyFill="1" applyBorder="1" applyProtection="1">
      <alignment horizontal="center"/>
    </xf>
    <xf numFmtId="0" fontId="18" fillId="18" borderId="37" xfId="44" applyNumberFormat="1" applyFont="1" applyFill="1" applyBorder="1" applyProtection="1">
      <alignment horizontal="left" wrapText="1" indent="2"/>
    </xf>
    <xf numFmtId="167" fontId="16" fillId="18" borderId="37" xfId="47" applyNumberFormat="1" applyFont="1" applyFill="1" applyBorder="1" applyAlignment="1" applyProtection="1">
      <alignment shrinkToFit="1"/>
    </xf>
    <xf numFmtId="167" fontId="16" fillId="18" borderId="46" xfId="47" applyNumberFormat="1" applyFont="1" applyFill="1" applyBorder="1" applyAlignment="1" applyProtection="1">
      <alignment shrinkToFit="1"/>
    </xf>
    <xf numFmtId="49" fontId="18" fillId="18" borderId="55" xfId="46" applyNumberFormat="1" applyFont="1" applyFill="1" applyBorder="1" applyProtection="1">
      <alignment horizontal="center"/>
    </xf>
    <xf numFmtId="0" fontId="18" fillId="18" borderId="46" xfId="44" applyNumberFormat="1" applyFont="1" applyFill="1" applyBorder="1" applyProtection="1">
      <alignment horizontal="left" wrapText="1" indent="2"/>
    </xf>
    <xf numFmtId="166" fontId="22" fillId="18" borderId="46" xfId="0" applyNumberFormat="1" applyFont="1" applyFill="1" applyBorder="1" applyProtection="1">
      <protection locked="0"/>
    </xf>
    <xf numFmtId="4" fontId="16" fillId="18" borderId="56" xfId="0" applyNumberFormat="1" applyFont="1" applyFill="1" applyBorder="1" applyAlignment="1" applyProtection="1">
      <alignment wrapText="1"/>
      <protection locked="0"/>
    </xf>
    <xf numFmtId="4" fontId="0" fillId="18" borderId="45" xfId="0" applyNumberFormat="1" applyFont="1" applyFill="1" applyBorder="1" applyAlignment="1" applyProtection="1">
      <alignment wrapText="1"/>
      <protection locked="0"/>
    </xf>
    <xf numFmtId="167" fontId="16" fillId="18" borderId="34" xfId="44" applyNumberFormat="1" applyFont="1" applyFill="1" applyBorder="1" applyAlignment="1" applyProtection="1">
      <alignment wrapText="1"/>
    </xf>
    <xf numFmtId="167" fontId="16" fillId="18" borderId="37" xfId="44" applyNumberFormat="1" applyFont="1" applyFill="1" applyBorder="1" applyAlignment="1" applyProtection="1">
      <alignment wrapText="1"/>
    </xf>
    <xf numFmtId="167" fontId="16" fillId="18" borderId="39" xfId="44" applyNumberFormat="1" applyFont="1" applyFill="1" applyBorder="1" applyAlignment="1" applyProtection="1">
      <alignment wrapText="1"/>
    </xf>
    <xf numFmtId="167" fontId="16" fillId="18" borderId="42" xfId="44" applyNumberFormat="1" applyFont="1" applyFill="1" applyBorder="1" applyAlignment="1" applyProtection="1">
      <alignment wrapText="1"/>
    </xf>
    <xf numFmtId="167" fontId="16" fillId="18" borderId="36" xfId="44" applyNumberFormat="1" applyFont="1" applyFill="1" applyBorder="1" applyAlignment="1" applyProtection="1">
      <alignment wrapText="1"/>
    </xf>
    <xf numFmtId="0" fontId="16" fillId="18" borderId="52" xfId="0" applyFont="1" applyFill="1" applyBorder="1" applyAlignment="1">
      <alignment horizontal="left" wrapText="1"/>
    </xf>
    <xf numFmtId="0" fontId="16" fillId="18" borderId="49" xfId="0" applyFont="1" applyFill="1" applyBorder="1" applyAlignment="1">
      <alignment wrapText="1"/>
    </xf>
    <xf numFmtId="0" fontId="31" fillId="18" borderId="47" xfId="0" applyFont="1" applyFill="1" applyBorder="1" applyAlignment="1">
      <alignment horizontal="justify" vertical="center"/>
    </xf>
    <xf numFmtId="0" fontId="31" fillId="18" borderId="52" xfId="0" applyFont="1" applyFill="1" applyBorder="1" applyAlignment="1">
      <alignment horizontal="justify" vertical="center"/>
    </xf>
    <xf numFmtId="49" fontId="18" fillId="18" borderId="36" xfId="46" applyNumberFormat="1" applyFont="1" applyFill="1" applyBorder="1" applyProtection="1">
      <alignment horizontal="center"/>
    </xf>
    <xf numFmtId="4" fontId="16" fillId="18" borderId="36" xfId="0" applyNumberFormat="1" applyFont="1" applyFill="1" applyBorder="1" applyAlignment="1" applyProtection="1">
      <alignment wrapText="1"/>
      <protection locked="0"/>
    </xf>
    <xf numFmtId="49" fontId="18" fillId="18" borderId="34" xfId="46" applyNumberFormat="1" applyFont="1" applyFill="1" applyBorder="1" applyProtection="1">
      <alignment horizontal="center"/>
    </xf>
    <xf numFmtId="4" fontId="16" fillId="18" borderId="34" xfId="0" applyNumberFormat="1" applyFont="1" applyFill="1" applyBorder="1" applyAlignment="1" applyProtection="1">
      <alignment wrapText="1"/>
      <protection locked="0"/>
    </xf>
    <xf numFmtId="49" fontId="18" fillId="18" borderId="37" xfId="46" applyNumberFormat="1" applyFont="1" applyFill="1" applyBorder="1" applyProtection="1">
      <alignment horizontal="center"/>
    </xf>
    <xf numFmtId="4" fontId="16" fillId="18" borderId="37" xfId="0" applyNumberFormat="1" applyFont="1" applyFill="1" applyBorder="1" applyAlignment="1" applyProtection="1">
      <alignment wrapText="1"/>
      <protection locked="0"/>
    </xf>
    <xf numFmtId="49" fontId="27" fillId="18" borderId="36" xfId="46" applyNumberFormat="1" applyFont="1" applyFill="1" applyBorder="1" applyProtection="1">
      <alignment horizontal="center"/>
    </xf>
    <xf numFmtId="0" fontId="27" fillId="18" borderId="36" xfId="44" applyNumberFormat="1" applyFont="1" applyFill="1" applyBorder="1" applyProtection="1">
      <alignment horizontal="left" wrapText="1" indent="2"/>
    </xf>
    <xf numFmtId="167" fontId="22" fillId="18" borderId="36" xfId="47" applyNumberFormat="1" applyFont="1" applyFill="1" applyBorder="1" applyAlignment="1" applyProtection="1">
      <alignment shrinkToFit="1"/>
    </xf>
    <xf numFmtId="49" fontId="27" fillId="18" borderId="38" xfId="46" applyNumberFormat="1" applyFont="1" applyFill="1" applyBorder="1" applyProtection="1">
      <alignment horizontal="center"/>
    </xf>
    <xf numFmtId="0" fontId="27" fillId="18" borderId="39" xfId="44" applyNumberFormat="1" applyFont="1" applyFill="1" applyBorder="1" applyProtection="1">
      <alignment horizontal="left" wrapText="1" indent="2"/>
    </xf>
    <xf numFmtId="167" fontId="22" fillId="18" borderId="39" xfId="47" applyNumberFormat="1" applyFont="1" applyFill="1" applyBorder="1" applyAlignment="1" applyProtection="1">
      <alignment shrinkToFit="1"/>
    </xf>
    <xf numFmtId="1" fontId="18" fillId="18" borderId="44" xfId="42" applyNumberFormat="1" applyFont="1" applyFill="1" applyBorder="1" applyAlignment="1" applyProtection="1">
      <alignment horizontal="center" vertical="center" shrinkToFit="1"/>
    </xf>
    <xf numFmtId="1" fontId="18" fillId="18" borderId="34" xfId="42" applyNumberFormat="1" applyFont="1" applyFill="1" applyBorder="1" applyAlignment="1" applyProtection="1">
      <alignment horizontal="left" vertical="center" wrapText="1" shrinkToFit="1"/>
    </xf>
    <xf numFmtId="167" fontId="16" fillId="18" borderId="34" xfId="0" applyNumberFormat="1" applyFont="1" applyFill="1" applyBorder="1" applyAlignment="1" applyProtection="1">
      <protection locked="0"/>
    </xf>
    <xf numFmtId="167" fontId="16" fillId="18" borderId="34" xfId="47" applyNumberFormat="1" applyFont="1" applyFill="1" applyBorder="1" applyAlignment="1" applyProtection="1">
      <alignment horizontal="right" shrinkToFit="1"/>
    </xf>
    <xf numFmtId="49" fontId="18" fillId="18" borderId="50" xfId="46" applyNumberFormat="1" applyFont="1" applyFill="1" applyBorder="1" applyProtection="1">
      <alignment horizontal="center"/>
    </xf>
    <xf numFmtId="4" fontId="16" fillId="18" borderId="51" xfId="0" applyNumberFormat="1" applyFont="1" applyFill="1" applyBorder="1" applyAlignment="1" applyProtection="1">
      <alignment wrapText="1"/>
      <protection locked="0"/>
    </xf>
    <xf numFmtId="166" fontId="16" fillId="18" borderId="39" xfId="0" applyNumberFormat="1" applyFont="1" applyFill="1" applyBorder="1" applyProtection="1">
      <protection locked="0"/>
    </xf>
    <xf numFmtId="166" fontId="16" fillId="18" borderId="34" xfId="0" applyNumberFormat="1" applyFont="1" applyFill="1" applyBorder="1" applyProtection="1">
      <protection locked="0"/>
    </xf>
    <xf numFmtId="166" fontId="16" fillId="18" borderId="37" xfId="0" applyNumberFormat="1" applyFont="1" applyFill="1" applyBorder="1" applyProtection="1">
      <protection locked="0"/>
    </xf>
    <xf numFmtId="166" fontId="16" fillId="18" borderId="42" xfId="0" applyNumberFormat="1" applyFont="1" applyFill="1" applyBorder="1" applyProtection="1">
      <protection locked="0"/>
    </xf>
    <xf numFmtId="4" fontId="15" fillId="18" borderId="1" xfId="1" applyNumberFormat="1" applyFont="1" applyFill="1" applyProtection="1"/>
    <xf numFmtId="0" fontId="15" fillId="18" borderId="1" xfId="1" applyNumberFormat="1" applyFont="1" applyFill="1" applyProtection="1"/>
    <xf numFmtId="4" fontId="0" fillId="18" borderId="0" xfId="0" applyNumberFormat="1" applyFont="1" applyFill="1" applyProtection="1">
      <protection locked="0"/>
    </xf>
    <xf numFmtId="0" fontId="16" fillId="18" borderId="1" xfId="0" applyFont="1" applyFill="1" applyBorder="1" applyAlignment="1">
      <alignment horizontal="center" vertical="center" wrapText="1"/>
    </xf>
    <xf numFmtId="49" fontId="18" fillId="18" borderId="1" xfId="30" applyNumberFormat="1" applyFont="1" applyFill="1" applyBorder="1" applyProtection="1">
      <alignment horizontal="center" vertical="top" wrapText="1"/>
    </xf>
    <xf numFmtId="0" fontId="15" fillId="18" borderId="1" xfId="31" applyNumberFormat="1" applyFont="1" applyFill="1" applyBorder="1" applyProtection="1"/>
    <xf numFmtId="167" fontId="19" fillId="18" borderId="1" xfId="14" applyNumberFormat="1" applyFont="1" applyFill="1" applyProtection="1"/>
    <xf numFmtId="0" fontId="19" fillId="18" borderId="1" xfId="14" applyNumberFormat="1" applyFont="1" applyFill="1" applyProtection="1"/>
    <xf numFmtId="0" fontId="0" fillId="18" borderId="0" xfId="0" applyFont="1" applyFill="1" applyProtection="1">
      <protection locked="0"/>
    </xf>
  </cellXfs>
  <cellStyles count="193">
    <cellStyle name="20% - Акцент1 2" xfId="144"/>
    <cellStyle name="20% - Акцент1 3" xfId="145"/>
    <cellStyle name="20% - Акцент1 4" xfId="146"/>
    <cellStyle name="20% - Акцент2 2" xfId="147"/>
    <cellStyle name="20% - Акцент2 3" xfId="148"/>
    <cellStyle name="20% - Акцент2 4" xfId="149"/>
    <cellStyle name="20% - Акцент3 2" xfId="150"/>
    <cellStyle name="20% - Акцент3 3" xfId="151"/>
    <cellStyle name="20% - Акцент3 4" xfId="152"/>
    <cellStyle name="20% - Акцент4 2" xfId="153"/>
    <cellStyle name="20% - Акцент4 3" xfId="154"/>
    <cellStyle name="20% - Акцент4 4" xfId="155"/>
    <cellStyle name="20% - Акцент5 2" xfId="156"/>
    <cellStyle name="20% - Акцент5 3" xfId="157"/>
    <cellStyle name="20% - Акцент5 4" xfId="158"/>
    <cellStyle name="20% - Акцент6 2" xfId="159"/>
    <cellStyle name="20% - Акцент6 3" xfId="160"/>
    <cellStyle name="20% - Акцент6 4" xfId="161"/>
    <cellStyle name="40% - Акцент1 2" xfId="162"/>
    <cellStyle name="40% - Акцент1 3" xfId="163"/>
    <cellStyle name="40% - Акцент1 4" xfId="164"/>
    <cellStyle name="40% - Акцент2 2" xfId="165"/>
    <cellStyle name="40% - Акцент2 3" xfId="166"/>
    <cellStyle name="40% - Акцент2 4" xfId="167"/>
    <cellStyle name="40% - Акцент3 2" xfId="168"/>
    <cellStyle name="40% - Акцент3 3" xfId="169"/>
    <cellStyle name="40% - Акцент3 4" xfId="170"/>
    <cellStyle name="40% - Акцент4 2" xfId="171"/>
    <cellStyle name="40% - Акцент4 3" xfId="172"/>
    <cellStyle name="40% - Акцент4 4" xfId="173"/>
    <cellStyle name="40% - Акцент5 2" xfId="174"/>
    <cellStyle name="40% - Акцент5 3" xfId="175"/>
    <cellStyle name="40% - Акцент5 4" xfId="176"/>
    <cellStyle name="40% - Акцент6 2" xfId="177"/>
    <cellStyle name="40% - Акцент6 3" xfId="178"/>
    <cellStyle name="40% - Акцент6 4" xfId="179"/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Название 2" xfId="180"/>
    <cellStyle name="Обычный" xfId="0" builtinId="0"/>
    <cellStyle name="Обычный 2" xfId="142"/>
    <cellStyle name="Обычный 3" xfId="181"/>
    <cellStyle name="Обычный 4" xfId="182"/>
    <cellStyle name="Обычный 5" xfId="183"/>
    <cellStyle name="Обычный 6" xfId="184"/>
    <cellStyle name="Обычный 7" xfId="185"/>
    <cellStyle name="Обычный 8" xfId="186"/>
    <cellStyle name="Обычный 9" xfId="143"/>
    <cellStyle name="Примечание 2" xfId="187"/>
    <cellStyle name="Примечание 3" xfId="188"/>
    <cellStyle name="Примечание 4" xfId="189"/>
    <cellStyle name="Примечание 5" xfId="190"/>
    <cellStyle name="Процентный 2" xfId="191"/>
    <cellStyle name="Финансовый 2" xfId="19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tabSelected="1" zoomScale="90" zoomScaleNormal="90" zoomScaleSheetLayoutView="100" workbookViewId="0">
      <pane xSplit="1" topLeftCell="B1" activePane="topRight" state="frozen"/>
      <selection pane="topRight" activeCell="G9" sqref="G9"/>
    </sheetView>
  </sheetViews>
  <sheetFormatPr defaultColWidth="9.140625" defaultRowHeight="15" x14ac:dyDescent="0.25"/>
  <cols>
    <col min="1" max="1" width="24" style="6" customWidth="1"/>
    <col min="2" max="2" width="33" style="6" customWidth="1"/>
    <col min="3" max="10" width="17.42578125" style="99" customWidth="1"/>
    <col min="11" max="11" width="21.140625" style="99" customWidth="1"/>
    <col min="12" max="12" width="22.85546875" style="99" customWidth="1"/>
    <col min="13" max="14" width="12.5703125" style="93" bestFit="1" customWidth="1"/>
    <col min="15" max="15" width="85.140625" style="8" customWidth="1"/>
    <col min="16" max="16" width="9.140625" style="6"/>
    <col min="17" max="17" width="12" style="6" customWidth="1"/>
    <col min="18" max="16384" width="9.140625" style="6"/>
  </cols>
  <sheetData>
    <row r="1" spans="1:15" ht="16.5" customHeight="1" x14ac:dyDescent="0.25">
      <c r="A1" s="1"/>
      <c r="B1" s="1"/>
      <c r="C1" s="91"/>
      <c r="D1" s="91"/>
      <c r="E1" s="91"/>
      <c r="F1" s="91"/>
      <c r="G1" s="91"/>
      <c r="H1" s="91"/>
      <c r="I1" s="91"/>
      <c r="J1" s="91"/>
      <c r="K1" s="92"/>
      <c r="L1" s="92"/>
    </row>
    <row r="2" spans="1:15" ht="31.5" customHeight="1" x14ac:dyDescent="0.25">
      <c r="A2" s="9" t="s">
        <v>332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95" customHeight="1" thickBot="1" x14ac:dyDescent="0.3">
      <c r="A3" s="2"/>
      <c r="B3" s="2"/>
      <c r="C3" s="94"/>
      <c r="D3" s="94"/>
      <c r="E3" s="94"/>
      <c r="F3" s="94"/>
      <c r="G3" s="94"/>
      <c r="H3" s="94"/>
      <c r="I3" s="94"/>
      <c r="J3" s="94"/>
      <c r="K3" s="95"/>
      <c r="L3" s="96"/>
    </row>
    <row r="4" spans="1:15" ht="89.25" customHeight="1" x14ac:dyDescent="0.25">
      <c r="A4" s="10" t="s">
        <v>222</v>
      </c>
      <c r="B4" s="11" t="s">
        <v>216</v>
      </c>
      <c r="C4" s="12" t="s">
        <v>285</v>
      </c>
      <c r="D4" s="12" t="s">
        <v>286</v>
      </c>
      <c r="E4" s="12" t="s">
        <v>287</v>
      </c>
      <c r="F4" s="12" t="s">
        <v>288</v>
      </c>
      <c r="G4" s="12" t="s">
        <v>289</v>
      </c>
      <c r="H4" s="12" t="s">
        <v>293</v>
      </c>
      <c r="I4" s="12" t="s">
        <v>301</v>
      </c>
      <c r="J4" s="12" t="s">
        <v>306</v>
      </c>
      <c r="K4" s="12" t="s">
        <v>307</v>
      </c>
      <c r="L4" s="13" t="s">
        <v>223</v>
      </c>
      <c r="M4" s="14" t="s">
        <v>224</v>
      </c>
      <c r="N4" s="14" t="s">
        <v>225</v>
      </c>
      <c r="O4" s="15" t="s">
        <v>226</v>
      </c>
    </row>
    <row r="5" spans="1:15" s="7" customFormat="1" ht="19.5" customHeight="1" x14ac:dyDescent="0.25">
      <c r="A5" s="16">
        <v>1</v>
      </c>
      <c r="B5" s="17">
        <v>2</v>
      </c>
      <c r="C5" s="18">
        <v>3</v>
      </c>
      <c r="D5" s="18"/>
      <c r="E5" s="18"/>
      <c r="F5" s="18"/>
      <c r="G5" s="18"/>
      <c r="H5" s="18"/>
      <c r="I5" s="18"/>
      <c r="J5" s="18"/>
      <c r="K5" s="18">
        <v>4</v>
      </c>
      <c r="L5" s="19">
        <v>5</v>
      </c>
      <c r="M5" s="20">
        <v>6</v>
      </c>
      <c r="N5" s="20">
        <v>7</v>
      </c>
      <c r="O5" s="21">
        <v>8</v>
      </c>
    </row>
    <row r="6" spans="1:15" s="4" customFormat="1" ht="18.75" customHeight="1" x14ac:dyDescent="0.25">
      <c r="A6" s="22"/>
      <c r="B6" s="23" t="s">
        <v>217</v>
      </c>
      <c r="C6" s="24">
        <f t="shared" ref="C6:L6" si="0">C7+C99</f>
        <v>1585392.0364099999</v>
      </c>
      <c r="D6" s="24">
        <f t="shared" si="0"/>
        <v>1809388.60494</v>
      </c>
      <c r="E6" s="24">
        <f t="shared" si="0"/>
        <v>1833264.95315</v>
      </c>
      <c r="F6" s="24">
        <f t="shared" si="0"/>
        <v>1892494.71511</v>
      </c>
      <c r="G6" s="24">
        <f t="shared" si="0"/>
        <v>1892342.87286</v>
      </c>
      <c r="H6" s="24">
        <f>H7+H99</f>
        <v>1944783.9226599999</v>
      </c>
      <c r="I6" s="24">
        <f>I7+I99</f>
        <v>2009216.94466</v>
      </c>
      <c r="J6" s="24">
        <f t="shared" si="0"/>
        <v>2001597.5116099999</v>
      </c>
      <c r="K6" s="24">
        <f>K7+K99</f>
        <v>2035819.1232699999</v>
      </c>
      <c r="L6" s="24">
        <f t="shared" si="0"/>
        <v>2109268.2258799998</v>
      </c>
      <c r="M6" s="25">
        <f>L6/C6</f>
        <v>1.3304395237510325</v>
      </c>
      <c r="N6" s="25">
        <f>L6/K6</f>
        <v>1.0360784029241377</v>
      </c>
      <c r="O6" s="26"/>
    </row>
    <row r="7" spans="1:15" s="4" customFormat="1" ht="79.5" thickBot="1" x14ac:dyDescent="0.3">
      <c r="A7" s="27" t="s">
        <v>1</v>
      </c>
      <c r="B7" s="28" t="s">
        <v>0</v>
      </c>
      <c r="C7" s="29">
        <f>C8+C14+C24+C33+C41+C48+C55+C68+C75+C81+C91+C94</f>
        <v>778376.7</v>
      </c>
      <c r="D7" s="29">
        <f t="shared" ref="D7:L7" si="1">D8+D14+D24+D33+D41+D48+D55+D68+D75+D81+D91+D94</f>
        <v>861976.7</v>
      </c>
      <c r="E7" s="29">
        <f t="shared" si="1"/>
        <v>861976.7</v>
      </c>
      <c r="F7" s="29">
        <f t="shared" si="1"/>
        <v>861976.7</v>
      </c>
      <c r="G7" s="29">
        <f>G8+G14+G24+G33+G41+G48+G55+G68+G75+G81+G91+G94</f>
        <v>861976.7</v>
      </c>
      <c r="H7" s="29">
        <f>H8+H14+H24+H33+H41+H48+H55+H68+H75+H81+H91+H94</f>
        <v>861976.7</v>
      </c>
      <c r="I7" s="29">
        <f>I8+I14+I24+I33+I41+I48+I55+I68+I75+I81+I91+I94</f>
        <v>801976.7</v>
      </c>
      <c r="J7" s="29">
        <f t="shared" si="1"/>
        <v>801976.7</v>
      </c>
      <c r="K7" s="29">
        <f t="shared" si="1"/>
        <v>784085.18281000003</v>
      </c>
      <c r="L7" s="29">
        <f t="shared" si="1"/>
        <v>861902.30370999977</v>
      </c>
      <c r="M7" s="30">
        <f t="shared" ref="M7:M72" si="2">L7/C7</f>
        <v>1.1073074305924109</v>
      </c>
      <c r="N7" s="30">
        <f t="shared" ref="N7:N72" si="3">L7/K7</f>
        <v>1.0992457485564504</v>
      </c>
      <c r="O7" s="31" t="s">
        <v>320</v>
      </c>
    </row>
    <row r="8" spans="1:15" ht="15.75" x14ac:dyDescent="0.25">
      <c r="A8" s="32" t="s">
        <v>3</v>
      </c>
      <c r="B8" s="33" t="s">
        <v>2</v>
      </c>
      <c r="C8" s="34">
        <f t="shared" ref="C8:L8" si="4">C9</f>
        <v>540600</v>
      </c>
      <c r="D8" s="34">
        <f t="shared" si="4"/>
        <v>624200</v>
      </c>
      <c r="E8" s="34">
        <f t="shared" si="4"/>
        <v>624200</v>
      </c>
      <c r="F8" s="34">
        <f t="shared" si="4"/>
        <v>624200</v>
      </c>
      <c r="G8" s="34">
        <f t="shared" si="4"/>
        <v>624200</v>
      </c>
      <c r="H8" s="34">
        <f>G8</f>
        <v>624200</v>
      </c>
      <c r="I8" s="34">
        <f>I9</f>
        <v>564200</v>
      </c>
      <c r="J8" s="34">
        <f t="shared" si="4"/>
        <v>564200</v>
      </c>
      <c r="K8" s="34">
        <f t="shared" si="4"/>
        <v>522403</v>
      </c>
      <c r="L8" s="34">
        <f t="shared" si="4"/>
        <v>575054.51639</v>
      </c>
      <c r="M8" s="35">
        <f t="shared" si="2"/>
        <v>1.0637338445985942</v>
      </c>
      <c r="N8" s="35">
        <f t="shared" si="3"/>
        <v>1.1007871631479911</v>
      </c>
      <c r="O8" s="36"/>
    </row>
    <row r="9" spans="1:15" ht="133.5" customHeight="1" thickBot="1" x14ac:dyDescent="0.3">
      <c r="A9" s="37" t="s">
        <v>5</v>
      </c>
      <c r="B9" s="38" t="s">
        <v>4</v>
      </c>
      <c r="C9" s="39">
        <v>540600</v>
      </c>
      <c r="D9" s="39">
        <f>C9+83600</f>
        <v>624200</v>
      </c>
      <c r="E9" s="39">
        <f>D9</f>
        <v>624200</v>
      </c>
      <c r="F9" s="39">
        <f>E9</f>
        <v>624200</v>
      </c>
      <c r="G9" s="39">
        <f>F9</f>
        <v>624200</v>
      </c>
      <c r="H9" s="39">
        <f>G9</f>
        <v>624200</v>
      </c>
      <c r="I9" s="39">
        <f>H9-60000</f>
        <v>564200</v>
      </c>
      <c r="J9" s="39">
        <f>I9</f>
        <v>564200</v>
      </c>
      <c r="K9" s="39">
        <f>J9-41797</f>
        <v>522403</v>
      </c>
      <c r="L9" s="39">
        <v>575054.51639</v>
      </c>
      <c r="M9" s="40">
        <f t="shared" si="2"/>
        <v>1.0637338445985942</v>
      </c>
      <c r="N9" s="40">
        <f t="shared" si="3"/>
        <v>1.1007871631479911</v>
      </c>
      <c r="O9" s="41" t="s">
        <v>321</v>
      </c>
    </row>
    <row r="10" spans="1:15" ht="91.5" hidden="1" thickBot="1" x14ac:dyDescent="0.3">
      <c r="A10" s="42" t="s">
        <v>7</v>
      </c>
      <c r="B10" s="43" t="s">
        <v>6</v>
      </c>
      <c r="C10" s="44">
        <v>523788.92099999997</v>
      </c>
      <c r="D10" s="44">
        <v>523788.92099999997</v>
      </c>
      <c r="E10" s="44">
        <v>523788.92099999997</v>
      </c>
      <c r="F10" s="44">
        <v>523788.92099999997</v>
      </c>
      <c r="G10" s="44">
        <f>F10</f>
        <v>523788.92099999997</v>
      </c>
      <c r="H10" s="44"/>
      <c r="I10" s="44"/>
      <c r="J10" s="44"/>
      <c r="K10" s="44"/>
      <c r="L10" s="44"/>
      <c r="M10" s="45">
        <f t="shared" si="2"/>
        <v>0</v>
      </c>
      <c r="N10" s="45" t="e">
        <f t="shared" si="3"/>
        <v>#DIV/0!</v>
      </c>
      <c r="O10" s="46"/>
    </row>
    <row r="11" spans="1:15" ht="96.75" hidden="1" customHeight="1" x14ac:dyDescent="0.25">
      <c r="A11" s="47" t="s">
        <v>9</v>
      </c>
      <c r="B11" s="48" t="s">
        <v>8</v>
      </c>
      <c r="C11" s="49">
        <v>3440</v>
      </c>
      <c r="D11" s="49">
        <v>3440</v>
      </c>
      <c r="E11" s="49">
        <v>3440</v>
      </c>
      <c r="F11" s="49">
        <v>3440</v>
      </c>
      <c r="G11" s="44">
        <f t="shared" ref="G11:G13" si="5">F11</f>
        <v>3440</v>
      </c>
      <c r="H11" s="44"/>
      <c r="I11" s="44"/>
      <c r="J11" s="49"/>
      <c r="K11" s="49"/>
      <c r="L11" s="49"/>
      <c r="M11" s="25">
        <f t="shared" si="2"/>
        <v>0</v>
      </c>
      <c r="N11" s="25" t="e">
        <f t="shared" si="3"/>
        <v>#DIV/0!</v>
      </c>
      <c r="O11" s="50"/>
    </row>
    <row r="12" spans="1:15" ht="57.75" hidden="1" thickBot="1" x14ac:dyDescent="0.3">
      <c r="A12" s="47" t="s">
        <v>11</v>
      </c>
      <c r="B12" s="48" t="s">
        <v>10</v>
      </c>
      <c r="C12" s="49">
        <v>2420</v>
      </c>
      <c r="D12" s="49">
        <v>2420</v>
      </c>
      <c r="E12" s="49">
        <v>2420</v>
      </c>
      <c r="F12" s="49">
        <v>2420</v>
      </c>
      <c r="G12" s="44">
        <f t="shared" si="5"/>
        <v>2420</v>
      </c>
      <c r="H12" s="44"/>
      <c r="I12" s="44"/>
      <c r="J12" s="49"/>
      <c r="K12" s="49"/>
      <c r="L12" s="49"/>
      <c r="M12" s="25">
        <f t="shared" si="2"/>
        <v>0</v>
      </c>
      <c r="N12" s="25" t="e">
        <f t="shared" si="3"/>
        <v>#DIV/0!</v>
      </c>
      <c r="O12" s="50"/>
    </row>
    <row r="13" spans="1:15" ht="114" hidden="1" thickBot="1" x14ac:dyDescent="0.3">
      <c r="A13" s="51" t="s">
        <v>13</v>
      </c>
      <c r="B13" s="52" t="s">
        <v>12</v>
      </c>
      <c r="C13" s="53">
        <v>401</v>
      </c>
      <c r="D13" s="53">
        <v>401</v>
      </c>
      <c r="E13" s="53">
        <v>401</v>
      </c>
      <c r="F13" s="53">
        <v>401</v>
      </c>
      <c r="G13" s="44">
        <f t="shared" si="5"/>
        <v>401</v>
      </c>
      <c r="H13" s="54"/>
      <c r="I13" s="54"/>
      <c r="J13" s="53"/>
      <c r="K13" s="53"/>
      <c r="L13" s="53"/>
      <c r="M13" s="30">
        <f t="shared" si="2"/>
        <v>0</v>
      </c>
      <c r="N13" s="30" t="e">
        <f t="shared" si="3"/>
        <v>#DIV/0!</v>
      </c>
      <c r="O13" s="31"/>
    </row>
    <row r="14" spans="1:15" ht="45.75" x14ac:dyDescent="0.25">
      <c r="A14" s="32" t="s">
        <v>15</v>
      </c>
      <c r="B14" s="33" t="s">
        <v>14</v>
      </c>
      <c r="C14" s="34">
        <f t="shared" ref="C14:L14" si="6">C15</f>
        <v>14500</v>
      </c>
      <c r="D14" s="34">
        <f t="shared" si="6"/>
        <v>14500</v>
      </c>
      <c r="E14" s="34">
        <f t="shared" si="6"/>
        <v>14500</v>
      </c>
      <c r="F14" s="34">
        <f t="shared" si="6"/>
        <v>14500</v>
      </c>
      <c r="G14" s="34">
        <f t="shared" si="6"/>
        <v>14500</v>
      </c>
      <c r="H14" s="34">
        <f>H15</f>
        <v>14500</v>
      </c>
      <c r="I14" s="34">
        <f>I15</f>
        <v>14500</v>
      </c>
      <c r="J14" s="34">
        <f t="shared" si="6"/>
        <v>14500</v>
      </c>
      <c r="K14" s="34">
        <f t="shared" si="6"/>
        <v>18500</v>
      </c>
      <c r="L14" s="34">
        <f t="shared" si="6"/>
        <v>18638.898499999999</v>
      </c>
      <c r="M14" s="35">
        <f t="shared" si="2"/>
        <v>1.285441275862069</v>
      </c>
      <c r="N14" s="35">
        <f t="shared" si="3"/>
        <v>1.0075080270270269</v>
      </c>
      <c r="O14" s="36"/>
    </row>
    <row r="15" spans="1:15" ht="35.25" thickBot="1" x14ac:dyDescent="0.3">
      <c r="A15" s="37" t="s">
        <v>17</v>
      </c>
      <c r="B15" s="38" t="s">
        <v>16</v>
      </c>
      <c r="C15" s="39">
        <v>14500</v>
      </c>
      <c r="D15" s="39">
        <f t="shared" ref="D15:J15" si="7">C15</f>
        <v>14500</v>
      </c>
      <c r="E15" s="39">
        <f t="shared" si="7"/>
        <v>14500</v>
      </c>
      <c r="F15" s="39">
        <f t="shared" si="7"/>
        <v>14500</v>
      </c>
      <c r="G15" s="39">
        <f t="shared" si="7"/>
        <v>14500</v>
      </c>
      <c r="H15" s="39">
        <f t="shared" si="7"/>
        <v>14500</v>
      </c>
      <c r="I15" s="39">
        <f t="shared" si="7"/>
        <v>14500</v>
      </c>
      <c r="J15" s="39">
        <f t="shared" si="7"/>
        <v>14500</v>
      </c>
      <c r="K15" s="39">
        <f>J15+4000</f>
        <v>18500</v>
      </c>
      <c r="L15" s="39">
        <v>18638.898499999999</v>
      </c>
      <c r="M15" s="40">
        <f t="shared" si="2"/>
        <v>1.285441275862069</v>
      </c>
      <c r="N15" s="40">
        <f t="shared" si="3"/>
        <v>1.0075080270270269</v>
      </c>
      <c r="O15" s="41" t="s">
        <v>280</v>
      </c>
    </row>
    <row r="16" spans="1:15" ht="91.5" hidden="1" thickBot="1" x14ac:dyDescent="0.3">
      <c r="A16" s="42" t="s">
        <v>19</v>
      </c>
      <c r="B16" s="43" t="s">
        <v>18</v>
      </c>
      <c r="C16" s="44">
        <v>5000</v>
      </c>
      <c r="D16" s="44">
        <v>5000</v>
      </c>
      <c r="E16" s="44">
        <v>5000</v>
      </c>
      <c r="F16" s="44">
        <v>5000</v>
      </c>
      <c r="G16" s="44">
        <v>5000</v>
      </c>
      <c r="H16" s="44"/>
      <c r="I16" s="44"/>
      <c r="J16" s="44">
        <v>5000</v>
      </c>
      <c r="K16" s="44">
        <v>5000</v>
      </c>
      <c r="L16" s="44">
        <v>5000</v>
      </c>
      <c r="M16" s="45">
        <f t="shared" si="2"/>
        <v>1</v>
      </c>
      <c r="N16" s="45">
        <f t="shared" si="3"/>
        <v>1</v>
      </c>
      <c r="O16" s="46"/>
    </row>
    <row r="17" spans="1:15" ht="93" hidden="1" customHeight="1" x14ac:dyDescent="0.25">
      <c r="A17" s="47" t="s">
        <v>21</v>
      </c>
      <c r="B17" s="48" t="s">
        <v>20</v>
      </c>
      <c r="C17" s="49">
        <v>5000</v>
      </c>
      <c r="D17" s="49">
        <v>5000</v>
      </c>
      <c r="E17" s="49">
        <v>5000</v>
      </c>
      <c r="F17" s="49">
        <v>5000</v>
      </c>
      <c r="G17" s="49">
        <v>5000</v>
      </c>
      <c r="H17" s="49"/>
      <c r="I17" s="49"/>
      <c r="J17" s="49">
        <v>5000</v>
      </c>
      <c r="K17" s="49">
        <v>5000</v>
      </c>
      <c r="L17" s="49">
        <v>5000</v>
      </c>
      <c r="M17" s="25">
        <f t="shared" si="2"/>
        <v>1</v>
      </c>
      <c r="N17" s="25">
        <f t="shared" si="3"/>
        <v>1</v>
      </c>
      <c r="O17" s="50"/>
    </row>
    <row r="18" spans="1:15" ht="114" hidden="1" thickBot="1" x14ac:dyDescent="0.3">
      <c r="A18" s="47" t="s">
        <v>23</v>
      </c>
      <c r="B18" s="48" t="s">
        <v>22</v>
      </c>
      <c r="C18" s="49">
        <v>50</v>
      </c>
      <c r="D18" s="49">
        <v>50</v>
      </c>
      <c r="E18" s="49">
        <v>50</v>
      </c>
      <c r="F18" s="49">
        <v>50</v>
      </c>
      <c r="G18" s="49">
        <v>50</v>
      </c>
      <c r="H18" s="49"/>
      <c r="I18" s="49"/>
      <c r="J18" s="49">
        <v>50</v>
      </c>
      <c r="K18" s="49">
        <v>50</v>
      </c>
      <c r="L18" s="49">
        <v>50</v>
      </c>
      <c r="M18" s="25">
        <f t="shared" si="2"/>
        <v>1</v>
      </c>
      <c r="N18" s="25">
        <f t="shared" si="3"/>
        <v>1</v>
      </c>
      <c r="O18" s="50"/>
    </row>
    <row r="19" spans="1:15" ht="170.25" hidden="1" thickBot="1" x14ac:dyDescent="0.3">
      <c r="A19" s="47" t="s">
        <v>25</v>
      </c>
      <c r="B19" s="48" t="s">
        <v>24</v>
      </c>
      <c r="C19" s="49">
        <v>50</v>
      </c>
      <c r="D19" s="49">
        <v>50</v>
      </c>
      <c r="E19" s="49">
        <v>50</v>
      </c>
      <c r="F19" s="49">
        <v>50</v>
      </c>
      <c r="G19" s="49">
        <v>50</v>
      </c>
      <c r="H19" s="49"/>
      <c r="I19" s="49"/>
      <c r="J19" s="49">
        <v>50</v>
      </c>
      <c r="K19" s="49">
        <v>50</v>
      </c>
      <c r="L19" s="49">
        <v>50</v>
      </c>
      <c r="M19" s="25">
        <f t="shared" si="2"/>
        <v>1</v>
      </c>
      <c r="N19" s="25">
        <f t="shared" si="3"/>
        <v>1</v>
      </c>
      <c r="O19" s="50"/>
    </row>
    <row r="20" spans="1:15" ht="91.5" hidden="1" thickBot="1" x14ac:dyDescent="0.3">
      <c r="A20" s="47" t="s">
        <v>27</v>
      </c>
      <c r="B20" s="48" t="s">
        <v>26</v>
      </c>
      <c r="C20" s="49">
        <v>7085</v>
      </c>
      <c r="D20" s="49">
        <v>7085</v>
      </c>
      <c r="E20" s="49">
        <v>7085</v>
      </c>
      <c r="F20" s="49">
        <v>7085</v>
      </c>
      <c r="G20" s="49">
        <v>7085</v>
      </c>
      <c r="H20" s="49"/>
      <c r="I20" s="49"/>
      <c r="J20" s="49">
        <v>7085</v>
      </c>
      <c r="K20" s="49">
        <v>7085</v>
      </c>
      <c r="L20" s="49">
        <v>7085</v>
      </c>
      <c r="M20" s="25">
        <f t="shared" si="2"/>
        <v>1</v>
      </c>
      <c r="N20" s="25">
        <f t="shared" si="3"/>
        <v>1</v>
      </c>
      <c r="O20" s="50"/>
    </row>
    <row r="21" spans="1:15" ht="147.75" hidden="1" thickBot="1" x14ac:dyDescent="0.3">
      <c r="A21" s="47" t="s">
        <v>29</v>
      </c>
      <c r="B21" s="48" t="s">
        <v>28</v>
      </c>
      <c r="C21" s="49">
        <v>7085</v>
      </c>
      <c r="D21" s="49">
        <v>7085</v>
      </c>
      <c r="E21" s="49">
        <v>7085</v>
      </c>
      <c r="F21" s="49">
        <v>7085</v>
      </c>
      <c r="G21" s="49">
        <v>7085</v>
      </c>
      <c r="H21" s="49"/>
      <c r="I21" s="49"/>
      <c r="J21" s="49">
        <v>7085</v>
      </c>
      <c r="K21" s="49">
        <v>7085</v>
      </c>
      <c r="L21" s="49">
        <v>7085</v>
      </c>
      <c r="M21" s="25">
        <f t="shared" si="2"/>
        <v>1</v>
      </c>
      <c r="N21" s="25">
        <f t="shared" si="3"/>
        <v>1</v>
      </c>
      <c r="O21" s="50"/>
    </row>
    <row r="22" spans="1:15" ht="91.5" hidden="1" thickBot="1" x14ac:dyDescent="0.3">
      <c r="A22" s="47" t="s">
        <v>31</v>
      </c>
      <c r="B22" s="48" t="s">
        <v>30</v>
      </c>
      <c r="C22" s="49">
        <v>1</v>
      </c>
      <c r="D22" s="49">
        <v>1</v>
      </c>
      <c r="E22" s="49">
        <v>1</v>
      </c>
      <c r="F22" s="49">
        <v>1</v>
      </c>
      <c r="G22" s="49">
        <v>1</v>
      </c>
      <c r="H22" s="49"/>
      <c r="I22" s="49"/>
      <c r="J22" s="49">
        <v>1</v>
      </c>
      <c r="K22" s="49">
        <v>1</v>
      </c>
      <c r="L22" s="49">
        <v>1</v>
      </c>
      <c r="M22" s="25">
        <f t="shared" si="2"/>
        <v>1</v>
      </c>
      <c r="N22" s="25">
        <f t="shared" si="3"/>
        <v>1</v>
      </c>
      <c r="O22" s="50"/>
    </row>
    <row r="23" spans="1:15" ht="147.75" hidden="1" thickBot="1" x14ac:dyDescent="0.3">
      <c r="A23" s="51" t="s">
        <v>33</v>
      </c>
      <c r="B23" s="52" t="s">
        <v>32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/>
      <c r="I23" s="53"/>
      <c r="J23" s="53">
        <v>1</v>
      </c>
      <c r="K23" s="53">
        <v>1</v>
      </c>
      <c r="L23" s="53">
        <v>1</v>
      </c>
      <c r="M23" s="30">
        <f t="shared" si="2"/>
        <v>1</v>
      </c>
      <c r="N23" s="30">
        <f t="shared" si="3"/>
        <v>1</v>
      </c>
      <c r="O23" s="31"/>
    </row>
    <row r="24" spans="1:15" ht="60" customHeight="1" x14ac:dyDescent="0.25">
      <c r="A24" s="32" t="s">
        <v>35</v>
      </c>
      <c r="B24" s="33" t="s">
        <v>34</v>
      </c>
      <c r="C24" s="34">
        <f>C26+C29+C31+C25</f>
        <v>93250</v>
      </c>
      <c r="D24" s="34">
        <f t="shared" ref="D24:L24" si="8">D26+D29+D31+D25</f>
        <v>93250</v>
      </c>
      <c r="E24" s="34">
        <f t="shared" si="8"/>
        <v>93250</v>
      </c>
      <c r="F24" s="34">
        <f t="shared" si="8"/>
        <v>93250</v>
      </c>
      <c r="G24" s="34">
        <f t="shared" si="8"/>
        <v>93250</v>
      </c>
      <c r="H24" s="34">
        <f>H25+H26+H29+H31</f>
        <v>93250</v>
      </c>
      <c r="I24" s="34">
        <f>I25+I26+I29+I31</f>
        <v>93250</v>
      </c>
      <c r="J24" s="34">
        <f t="shared" si="8"/>
        <v>93250</v>
      </c>
      <c r="K24" s="34">
        <f t="shared" si="8"/>
        <v>122750.18281</v>
      </c>
      <c r="L24" s="34">
        <f t="shared" si="8"/>
        <v>137604.95624</v>
      </c>
      <c r="M24" s="35">
        <f t="shared" si="2"/>
        <v>1.4756563671849865</v>
      </c>
      <c r="N24" s="35">
        <f t="shared" si="3"/>
        <v>1.1210163039267576</v>
      </c>
      <c r="O24" s="36" t="s">
        <v>322</v>
      </c>
    </row>
    <row r="25" spans="1:15" ht="172.5" customHeight="1" x14ac:dyDescent="0.25">
      <c r="A25" s="47" t="s">
        <v>273</v>
      </c>
      <c r="B25" s="48" t="s">
        <v>274</v>
      </c>
      <c r="C25" s="49">
        <v>80000</v>
      </c>
      <c r="D25" s="49">
        <f t="shared" ref="D25:J25" si="9">C25</f>
        <v>80000</v>
      </c>
      <c r="E25" s="49">
        <f t="shared" si="9"/>
        <v>80000</v>
      </c>
      <c r="F25" s="49">
        <f t="shared" si="9"/>
        <v>80000</v>
      </c>
      <c r="G25" s="49">
        <f t="shared" si="9"/>
        <v>80000</v>
      </c>
      <c r="H25" s="49">
        <f t="shared" si="9"/>
        <v>80000</v>
      </c>
      <c r="I25" s="49">
        <f t="shared" si="9"/>
        <v>80000</v>
      </c>
      <c r="J25" s="49">
        <f t="shared" si="9"/>
        <v>80000</v>
      </c>
      <c r="K25" s="49">
        <f>J25+28500.18281</f>
        <v>108500.18281</v>
      </c>
      <c r="L25" s="49">
        <v>117599.74116999999</v>
      </c>
      <c r="M25" s="25"/>
      <c r="N25" s="25">
        <f t="shared" si="3"/>
        <v>1.0838667560213671</v>
      </c>
      <c r="O25" s="50" t="s">
        <v>323</v>
      </c>
    </row>
    <row r="26" spans="1:15" ht="23.25" x14ac:dyDescent="0.25">
      <c r="A26" s="47" t="s">
        <v>37</v>
      </c>
      <c r="B26" s="48" t="s">
        <v>36</v>
      </c>
      <c r="C26" s="49">
        <v>0</v>
      </c>
      <c r="D26" s="49">
        <f t="shared" ref="D26:J31" si="10">C26</f>
        <v>0</v>
      </c>
      <c r="E26" s="49">
        <f t="shared" si="10"/>
        <v>0</v>
      </c>
      <c r="F26" s="49">
        <f t="shared" si="10"/>
        <v>0</v>
      </c>
      <c r="G26" s="49">
        <f t="shared" si="10"/>
        <v>0</v>
      </c>
      <c r="H26" s="49">
        <f t="shared" si="10"/>
        <v>0</v>
      </c>
      <c r="I26" s="49">
        <f t="shared" si="10"/>
        <v>0</v>
      </c>
      <c r="J26" s="49">
        <f t="shared" si="10"/>
        <v>0</v>
      </c>
      <c r="K26" s="49">
        <f>J26</f>
        <v>0</v>
      </c>
      <c r="L26" s="49">
        <v>36.169980000000002</v>
      </c>
      <c r="M26" s="25" t="e">
        <f t="shared" si="2"/>
        <v>#DIV/0!</v>
      </c>
      <c r="N26" s="25" t="e">
        <f t="shared" si="3"/>
        <v>#DIV/0!</v>
      </c>
      <c r="O26" s="50"/>
    </row>
    <row r="27" spans="1:15" ht="23.25" hidden="1" x14ac:dyDescent="0.25">
      <c r="A27" s="47" t="s">
        <v>38</v>
      </c>
      <c r="B27" s="48" t="s">
        <v>36</v>
      </c>
      <c r="C27" s="49"/>
      <c r="D27" s="49">
        <f t="shared" si="10"/>
        <v>0</v>
      </c>
      <c r="E27" s="49">
        <f t="shared" si="10"/>
        <v>0</v>
      </c>
      <c r="F27" s="49">
        <f t="shared" si="10"/>
        <v>0</v>
      </c>
      <c r="G27" s="49">
        <f t="shared" si="10"/>
        <v>0</v>
      </c>
      <c r="H27" s="49">
        <f t="shared" si="10"/>
        <v>0</v>
      </c>
      <c r="I27" s="49">
        <f t="shared" si="10"/>
        <v>0</v>
      </c>
      <c r="J27" s="49">
        <f t="shared" si="10"/>
        <v>0</v>
      </c>
      <c r="K27" s="49"/>
      <c r="L27" s="49"/>
      <c r="M27" s="25" t="e">
        <f t="shared" si="2"/>
        <v>#DIV/0!</v>
      </c>
      <c r="N27" s="25" t="e">
        <f t="shared" si="3"/>
        <v>#DIV/0!</v>
      </c>
      <c r="O27" s="50"/>
    </row>
    <row r="28" spans="1:15" ht="45.75" hidden="1" x14ac:dyDescent="0.25">
      <c r="A28" s="47" t="s">
        <v>40</v>
      </c>
      <c r="B28" s="48" t="s">
        <v>39</v>
      </c>
      <c r="C28" s="49"/>
      <c r="D28" s="49">
        <f t="shared" si="10"/>
        <v>0</v>
      </c>
      <c r="E28" s="49">
        <f t="shared" si="10"/>
        <v>0</v>
      </c>
      <c r="F28" s="49">
        <f t="shared" si="10"/>
        <v>0</v>
      </c>
      <c r="G28" s="49">
        <f t="shared" si="10"/>
        <v>0</v>
      </c>
      <c r="H28" s="49">
        <f t="shared" si="10"/>
        <v>0</v>
      </c>
      <c r="I28" s="49">
        <f t="shared" si="10"/>
        <v>0</v>
      </c>
      <c r="J28" s="49">
        <f t="shared" si="10"/>
        <v>0</v>
      </c>
      <c r="K28" s="49"/>
      <c r="L28" s="49"/>
      <c r="M28" s="25" t="e">
        <f t="shared" si="2"/>
        <v>#DIV/0!</v>
      </c>
      <c r="N28" s="25" t="e">
        <f t="shared" si="3"/>
        <v>#DIV/0!</v>
      </c>
      <c r="O28" s="50"/>
    </row>
    <row r="29" spans="1:15" ht="251.25" customHeight="1" x14ac:dyDescent="0.25">
      <c r="A29" s="47" t="s">
        <v>42</v>
      </c>
      <c r="B29" s="48" t="s">
        <v>41</v>
      </c>
      <c r="C29" s="49">
        <v>250</v>
      </c>
      <c r="D29" s="49">
        <f t="shared" si="10"/>
        <v>250</v>
      </c>
      <c r="E29" s="49">
        <f t="shared" si="10"/>
        <v>250</v>
      </c>
      <c r="F29" s="49">
        <f t="shared" si="10"/>
        <v>250</v>
      </c>
      <c r="G29" s="49">
        <f t="shared" si="10"/>
        <v>250</v>
      </c>
      <c r="H29" s="49">
        <f t="shared" si="10"/>
        <v>250</v>
      </c>
      <c r="I29" s="49">
        <f t="shared" si="10"/>
        <v>250</v>
      </c>
      <c r="J29" s="49">
        <f t="shared" si="10"/>
        <v>250</v>
      </c>
      <c r="K29" s="49">
        <f>J29</f>
        <v>250</v>
      </c>
      <c r="L29" s="49">
        <v>253.44868</v>
      </c>
      <c r="M29" s="25">
        <f t="shared" si="2"/>
        <v>1.0137947199999999</v>
      </c>
      <c r="N29" s="25">
        <f t="shared" si="3"/>
        <v>1.0137947199999999</v>
      </c>
      <c r="O29" s="50" t="s">
        <v>326</v>
      </c>
    </row>
    <row r="30" spans="1:15" ht="15.75" hidden="1" x14ac:dyDescent="0.25">
      <c r="A30" s="47" t="s">
        <v>43</v>
      </c>
      <c r="B30" s="48" t="s">
        <v>41</v>
      </c>
      <c r="C30" s="49"/>
      <c r="D30" s="49">
        <f t="shared" si="10"/>
        <v>0</v>
      </c>
      <c r="E30" s="49">
        <f t="shared" si="10"/>
        <v>0</v>
      </c>
      <c r="F30" s="49">
        <f t="shared" si="10"/>
        <v>0</v>
      </c>
      <c r="G30" s="49">
        <f t="shared" si="10"/>
        <v>0</v>
      </c>
      <c r="H30" s="49">
        <f t="shared" si="10"/>
        <v>0</v>
      </c>
      <c r="I30" s="49">
        <f t="shared" si="10"/>
        <v>0</v>
      </c>
      <c r="J30" s="49">
        <f t="shared" si="10"/>
        <v>0</v>
      </c>
      <c r="K30" s="49"/>
      <c r="L30" s="49"/>
      <c r="M30" s="25" t="e">
        <f t="shared" si="2"/>
        <v>#DIV/0!</v>
      </c>
      <c r="N30" s="25" t="e">
        <f t="shared" si="3"/>
        <v>#DIV/0!</v>
      </c>
      <c r="O30" s="50"/>
    </row>
    <row r="31" spans="1:15" ht="48" thickBot="1" x14ac:dyDescent="0.3">
      <c r="A31" s="37" t="s">
        <v>45</v>
      </c>
      <c r="B31" s="38" t="s">
        <v>44</v>
      </c>
      <c r="C31" s="39">
        <v>13000</v>
      </c>
      <c r="D31" s="49">
        <f t="shared" si="10"/>
        <v>13000</v>
      </c>
      <c r="E31" s="49">
        <f t="shared" si="10"/>
        <v>13000</v>
      </c>
      <c r="F31" s="49">
        <f t="shared" si="10"/>
        <v>13000</v>
      </c>
      <c r="G31" s="49">
        <f t="shared" si="10"/>
        <v>13000</v>
      </c>
      <c r="H31" s="49">
        <f t="shared" si="10"/>
        <v>13000</v>
      </c>
      <c r="I31" s="49">
        <f t="shared" si="10"/>
        <v>13000</v>
      </c>
      <c r="J31" s="49">
        <f t="shared" si="10"/>
        <v>13000</v>
      </c>
      <c r="K31" s="39">
        <f>J31+1000</f>
        <v>14000</v>
      </c>
      <c r="L31" s="39">
        <v>19715.596409999998</v>
      </c>
      <c r="M31" s="40">
        <f t="shared" si="2"/>
        <v>1.5165843392307692</v>
      </c>
      <c r="N31" s="40">
        <f t="shared" si="3"/>
        <v>1.4082568864285714</v>
      </c>
      <c r="O31" s="41" t="s">
        <v>324</v>
      </c>
    </row>
    <row r="32" spans="1:15" ht="46.5" hidden="1" thickBot="1" x14ac:dyDescent="0.3">
      <c r="A32" s="55" t="s">
        <v>47</v>
      </c>
      <c r="B32" s="56" t="s">
        <v>46</v>
      </c>
      <c r="C32" s="54">
        <v>900</v>
      </c>
      <c r="D32" s="54">
        <v>900</v>
      </c>
      <c r="E32" s="54">
        <v>900</v>
      </c>
      <c r="F32" s="54">
        <v>900</v>
      </c>
      <c r="G32" s="54">
        <v>900</v>
      </c>
      <c r="H32" s="54"/>
      <c r="I32" s="54"/>
      <c r="J32" s="54">
        <v>900</v>
      </c>
      <c r="K32" s="54">
        <v>900</v>
      </c>
      <c r="L32" s="54">
        <v>900</v>
      </c>
      <c r="M32" s="57">
        <f t="shared" si="2"/>
        <v>1</v>
      </c>
      <c r="N32" s="57">
        <f t="shared" si="3"/>
        <v>1</v>
      </c>
      <c r="O32" s="58"/>
    </row>
    <row r="33" spans="1:16" ht="31.5" x14ac:dyDescent="0.25">
      <c r="A33" s="32" t="s">
        <v>49</v>
      </c>
      <c r="B33" s="33" t="s">
        <v>48</v>
      </c>
      <c r="C33" s="34">
        <f t="shared" ref="C33:L33" si="11">C34+C36</f>
        <v>70200</v>
      </c>
      <c r="D33" s="34">
        <f t="shared" si="11"/>
        <v>70200</v>
      </c>
      <c r="E33" s="34">
        <f t="shared" si="11"/>
        <v>70200</v>
      </c>
      <c r="F33" s="34">
        <f t="shared" si="11"/>
        <v>70200</v>
      </c>
      <c r="G33" s="34">
        <f t="shared" si="11"/>
        <v>70200</v>
      </c>
      <c r="H33" s="34">
        <f>H34+H36</f>
        <v>70200</v>
      </c>
      <c r="I33" s="34">
        <f>H33</f>
        <v>70200</v>
      </c>
      <c r="J33" s="34">
        <f t="shared" si="11"/>
        <v>70200</v>
      </c>
      <c r="K33" s="34">
        <f t="shared" si="11"/>
        <v>62500</v>
      </c>
      <c r="L33" s="34">
        <f t="shared" si="11"/>
        <v>67309.570769999991</v>
      </c>
      <c r="M33" s="35">
        <f t="shared" si="2"/>
        <v>0.95882579444444427</v>
      </c>
      <c r="N33" s="35">
        <f t="shared" si="3"/>
        <v>1.0769531323199999</v>
      </c>
      <c r="O33" s="36" t="s">
        <v>281</v>
      </c>
    </row>
    <row r="34" spans="1:16" ht="26.25" customHeight="1" x14ac:dyDescent="0.25">
      <c r="A34" s="47" t="s">
        <v>51</v>
      </c>
      <c r="B34" s="48" t="s">
        <v>50</v>
      </c>
      <c r="C34" s="49">
        <v>30000</v>
      </c>
      <c r="D34" s="49">
        <f>C34</f>
        <v>30000</v>
      </c>
      <c r="E34" s="49">
        <f>D34</f>
        <v>30000</v>
      </c>
      <c r="F34" s="49">
        <f>E34</f>
        <v>30000</v>
      </c>
      <c r="G34" s="49">
        <f>F34</f>
        <v>30000</v>
      </c>
      <c r="H34" s="49">
        <f>G34</f>
        <v>30000</v>
      </c>
      <c r="I34" s="49">
        <f>H34</f>
        <v>30000</v>
      </c>
      <c r="J34" s="49">
        <f>I34</f>
        <v>30000</v>
      </c>
      <c r="K34" s="49">
        <f>J34+6500</f>
        <v>36500</v>
      </c>
      <c r="L34" s="49">
        <v>39940.575570000001</v>
      </c>
      <c r="M34" s="25">
        <f t="shared" si="2"/>
        <v>1.331352519</v>
      </c>
      <c r="N34" s="25">
        <f t="shared" si="3"/>
        <v>1.0942623443835617</v>
      </c>
      <c r="O34" s="50"/>
    </row>
    <row r="35" spans="1:16" ht="57" hidden="1" x14ac:dyDescent="0.25">
      <c r="A35" s="47" t="s">
        <v>53</v>
      </c>
      <c r="B35" s="48" t="s">
        <v>52</v>
      </c>
      <c r="C35" s="49">
        <v>15000</v>
      </c>
      <c r="D35" s="49">
        <v>15000</v>
      </c>
      <c r="E35" s="49">
        <v>15000</v>
      </c>
      <c r="F35" s="49">
        <v>15000</v>
      </c>
      <c r="G35" s="49">
        <v>15000</v>
      </c>
      <c r="H35" s="49"/>
      <c r="I35" s="49"/>
      <c r="J35" s="49">
        <v>15000</v>
      </c>
      <c r="K35" s="49">
        <v>15000</v>
      </c>
      <c r="L35" s="49">
        <v>15000</v>
      </c>
      <c r="M35" s="25">
        <f t="shared" si="2"/>
        <v>1</v>
      </c>
      <c r="N35" s="25">
        <f t="shared" si="3"/>
        <v>1</v>
      </c>
      <c r="O35" s="59"/>
    </row>
    <row r="36" spans="1:16" ht="63" x14ac:dyDescent="0.25">
      <c r="A36" s="47" t="s">
        <v>55</v>
      </c>
      <c r="B36" s="48" t="s">
        <v>54</v>
      </c>
      <c r="C36" s="49">
        <f t="shared" ref="C36:L36" si="12">C37+C39</f>
        <v>40200</v>
      </c>
      <c r="D36" s="49">
        <f t="shared" si="12"/>
        <v>40200</v>
      </c>
      <c r="E36" s="49">
        <f t="shared" si="12"/>
        <v>40200</v>
      </c>
      <c r="F36" s="49">
        <f t="shared" si="12"/>
        <v>40200</v>
      </c>
      <c r="G36" s="49">
        <f t="shared" si="12"/>
        <v>40200</v>
      </c>
      <c r="H36" s="49">
        <f>H37+H39</f>
        <v>40200</v>
      </c>
      <c r="I36" s="49">
        <f>I37+I39</f>
        <v>40200</v>
      </c>
      <c r="J36" s="49">
        <f t="shared" si="12"/>
        <v>40200</v>
      </c>
      <c r="K36" s="49">
        <f t="shared" si="12"/>
        <v>26000</v>
      </c>
      <c r="L36" s="49">
        <f t="shared" si="12"/>
        <v>27368.995199999998</v>
      </c>
      <c r="M36" s="25">
        <f t="shared" si="2"/>
        <v>0.68082077611940295</v>
      </c>
      <c r="N36" s="25">
        <f t="shared" si="3"/>
        <v>1.0526536615384614</v>
      </c>
      <c r="O36" s="50" t="s">
        <v>325</v>
      </c>
    </row>
    <row r="37" spans="1:16" ht="15.75" x14ac:dyDescent="0.25">
      <c r="A37" s="47" t="s">
        <v>57</v>
      </c>
      <c r="B37" s="48" t="s">
        <v>56</v>
      </c>
      <c r="C37" s="49">
        <v>25000</v>
      </c>
      <c r="D37" s="49">
        <f t="shared" ref="D37:J37" si="13">C37</f>
        <v>25000</v>
      </c>
      <c r="E37" s="49">
        <f t="shared" si="13"/>
        <v>25000</v>
      </c>
      <c r="F37" s="49">
        <f t="shared" si="13"/>
        <v>25000</v>
      </c>
      <c r="G37" s="49">
        <f t="shared" si="13"/>
        <v>25000</v>
      </c>
      <c r="H37" s="49">
        <f t="shared" si="13"/>
        <v>25000</v>
      </c>
      <c r="I37" s="49">
        <f t="shared" si="13"/>
        <v>25000</v>
      </c>
      <c r="J37" s="49">
        <f t="shared" si="13"/>
        <v>25000</v>
      </c>
      <c r="K37" s="49">
        <f>J37-8600</f>
        <v>16400</v>
      </c>
      <c r="L37" s="49">
        <v>16829.758699999998</v>
      </c>
      <c r="M37" s="25">
        <f t="shared" si="2"/>
        <v>0.67319034799999999</v>
      </c>
      <c r="N37" s="25">
        <f t="shared" si="3"/>
        <v>1.0262047987804876</v>
      </c>
      <c r="O37" s="50"/>
    </row>
    <row r="38" spans="1:16" ht="45.75" hidden="1" x14ac:dyDescent="0.25">
      <c r="A38" s="47" t="s">
        <v>59</v>
      </c>
      <c r="B38" s="48" t="s">
        <v>58</v>
      </c>
      <c r="C38" s="49"/>
      <c r="D38" s="49">
        <f t="shared" ref="D38:D39" si="14">C38</f>
        <v>0</v>
      </c>
      <c r="E38" s="49"/>
      <c r="F38" s="49"/>
      <c r="G38" s="49"/>
      <c r="H38" s="49"/>
      <c r="I38" s="49"/>
      <c r="J38" s="49"/>
      <c r="K38" s="49"/>
      <c r="L38" s="49"/>
      <c r="M38" s="25" t="e">
        <f t="shared" si="2"/>
        <v>#DIV/0!</v>
      </c>
      <c r="N38" s="25" t="e">
        <f t="shared" si="3"/>
        <v>#DIV/0!</v>
      </c>
      <c r="O38" s="50"/>
    </row>
    <row r="39" spans="1:16" ht="16.5" thickBot="1" x14ac:dyDescent="0.3">
      <c r="A39" s="37" t="s">
        <v>61</v>
      </c>
      <c r="B39" s="38" t="s">
        <v>60</v>
      </c>
      <c r="C39" s="39">
        <v>15200</v>
      </c>
      <c r="D39" s="49">
        <f t="shared" si="14"/>
        <v>15200</v>
      </c>
      <c r="E39" s="39">
        <f t="shared" ref="E39:J39" si="15">D39</f>
        <v>15200</v>
      </c>
      <c r="F39" s="39">
        <f t="shared" si="15"/>
        <v>15200</v>
      </c>
      <c r="G39" s="39">
        <f t="shared" si="15"/>
        <v>15200</v>
      </c>
      <c r="H39" s="39">
        <f t="shared" si="15"/>
        <v>15200</v>
      </c>
      <c r="I39" s="39">
        <f t="shared" si="15"/>
        <v>15200</v>
      </c>
      <c r="J39" s="39">
        <f t="shared" si="15"/>
        <v>15200</v>
      </c>
      <c r="K39" s="39">
        <f>J39-5600</f>
        <v>9600</v>
      </c>
      <c r="L39" s="39">
        <v>10539.236500000001</v>
      </c>
      <c r="M39" s="40">
        <f t="shared" si="2"/>
        <v>0.69337082236842107</v>
      </c>
      <c r="N39" s="40">
        <f t="shared" si="3"/>
        <v>1.0978371354166667</v>
      </c>
      <c r="O39" s="41"/>
    </row>
    <row r="40" spans="1:16" ht="46.5" hidden="1" thickBot="1" x14ac:dyDescent="0.3">
      <c r="A40" s="55" t="s">
        <v>63</v>
      </c>
      <c r="B40" s="56" t="s">
        <v>62</v>
      </c>
      <c r="C40" s="54">
        <v>13100</v>
      </c>
      <c r="D40" s="54">
        <v>13100</v>
      </c>
      <c r="E40" s="54">
        <v>13100</v>
      </c>
      <c r="F40" s="54">
        <v>13100</v>
      </c>
      <c r="G40" s="54">
        <v>13100</v>
      </c>
      <c r="H40" s="54"/>
      <c r="I40" s="54"/>
      <c r="J40" s="54">
        <v>13100</v>
      </c>
      <c r="K40" s="54">
        <v>13100</v>
      </c>
      <c r="L40" s="54">
        <v>13100</v>
      </c>
      <c r="M40" s="57">
        <f t="shared" si="2"/>
        <v>1</v>
      </c>
      <c r="N40" s="57">
        <f t="shared" si="3"/>
        <v>1</v>
      </c>
      <c r="O40" s="58"/>
    </row>
    <row r="41" spans="1:16" ht="15.75" x14ac:dyDescent="0.25">
      <c r="A41" s="32" t="s">
        <v>65</v>
      </c>
      <c r="B41" s="33" t="s">
        <v>64</v>
      </c>
      <c r="C41" s="34">
        <f t="shared" ref="C41:L41" si="16">C42+C44</f>
        <v>6500</v>
      </c>
      <c r="D41" s="34">
        <f t="shared" si="16"/>
        <v>6500</v>
      </c>
      <c r="E41" s="34">
        <f t="shared" si="16"/>
        <v>6500</v>
      </c>
      <c r="F41" s="34">
        <f t="shared" si="16"/>
        <v>6500</v>
      </c>
      <c r="G41" s="34">
        <f t="shared" si="16"/>
        <v>6500</v>
      </c>
      <c r="H41" s="34">
        <f>H42+H44</f>
        <v>6500</v>
      </c>
      <c r="I41" s="34">
        <f>I42+I44</f>
        <v>6500</v>
      </c>
      <c r="J41" s="34">
        <f t="shared" si="16"/>
        <v>6500</v>
      </c>
      <c r="K41" s="34">
        <f t="shared" si="16"/>
        <v>7000</v>
      </c>
      <c r="L41" s="34">
        <f t="shared" si="16"/>
        <v>7642.5763299999999</v>
      </c>
      <c r="M41" s="35">
        <f t="shared" si="2"/>
        <v>1.1757809738461538</v>
      </c>
      <c r="N41" s="35">
        <f t="shared" si="3"/>
        <v>1.0917966185714285</v>
      </c>
      <c r="O41" s="36"/>
      <c r="P41" s="5"/>
    </row>
    <row r="42" spans="1:16" ht="34.5" x14ac:dyDescent="0.25">
      <c r="A42" s="47" t="s">
        <v>67</v>
      </c>
      <c r="B42" s="48" t="s">
        <v>66</v>
      </c>
      <c r="C42" s="49">
        <v>6450</v>
      </c>
      <c r="D42" s="49">
        <f t="shared" ref="D42:J42" si="17">C42</f>
        <v>6450</v>
      </c>
      <c r="E42" s="49">
        <f t="shared" si="17"/>
        <v>6450</v>
      </c>
      <c r="F42" s="49">
        <f t="shared" si="17"/>
        <v>6450</v>
      </c>
      <c r="G42" s="49">
        <f t="shared" si="17"/>
        <v>6450</v>
      </c>
      <c r="H42" s="49">
        <f t="shared" si="17"/>
        <v>6450</v>
      </c>
      <c r="I42" s="49">
        <f t="shared" si="17"/>
        <v>6450</v>
      </c>
      <c r="J42" s="49">
        <f t="shared" si="17"/>
        <v>6450</v>
      </c>
      <c r="K42" s="49">
        <f>J42+500</f>
        <v>6950</v>
      </c>
      <c r="L42" s="49">
        <v>7515.5763299999999</v>
      </c>
      <c r="M42" s="25">
        <f t="shared" si="2"/>
        <v>1.1652056325581395</v>
      </c>
      <c r="N42" s="25">
        <f t="shared" si="3"/>
        <v>1.081377889208633</v>
      </c>
      <c r="O42" s="50"/>
    </row>
    <row r="43" spans="1:16" ht="57" hidden="1" x14ac:dyDescent="0.25">
      <c r="A43" s="47" t="s">
        <v>69</v>
      </c>
      <c r="B43" s="48" t="s">
        <v>68</v>
      </c>
      <c r="C43" s="49"/>
      <c r="D43" s="49">
        <f t="shared" ref="D43:D44" si="18">C43</f>
        <v>0</v>
      </c>
      <c r="E43" s="49"/>
      <c r="F43" s="49"/>
      <c r="G43" s="49"/>
      <c r="H43" s="49"/>
      <c r="I43" s="49"/>
      <c r="J43" s="49"/>
      <c r="K43" s="49"/>
      <c r="L43" s="49"/>
      <c r="M43" s="25" t="e">
        <f t="shared" si="2"/>
        <v>#DIV/0!</v>
      </c>
      <c r="N43" s="25" t="e">
        <f t="shared" si="3"/>
        <v>#DIV/0!</v>
      </c>
      <c r="O43" s="50"/>
    </row>
    <row r="44" spans="1:16" ht="46.5" thickBot="1" x14ac:dyDescent="0.3">
      <c r="A44" s="37" t="s">
        <v>71</v>
      </c>
      <c r="B44" s="38" t="s">
        <v>70</v>
      </c>
      <c r="C44" s="39">
        <v>50</v>
      </c>
      <c r="D44" s="49">
        <f t="shared" si="18"/>
        <v>50</v>
      </c>
      <c r="E44" s="39">
        <f t="shared" ref="E44:K44" si="19">D44</f>
        <v>50</v>
      </c>
      <c r="F44" s="39">
        <f t="shared" si="19"/>
        <v>50</v>
      </c>
      <c r="G44" s="39">
        <f t="shared" si="19"/>
        <v>50</v>
      </c>
      <c r="H44" s="39">
        <f t="shared" si="19"/>
        <v>50</v>
      </c>
      <c r="I44" s="39">
        <f t="shared" si="19"/>
        <v>50</v>
      </c>
      <c r="J44" s="39">
        <f t="shared" si="19"/>
        <v>50</v>
      </c>
      <c r="K44" s="39">
        <f t="shared" si="19"/>
        <v>50</v>
      </c>
      <c r="L44" s="39">
        <v>127</v>
      </c>
      <c r="M44" s="40">
        <f t="shared" si="2"/>
        <v>2.54</v>
      </c>
      <c r="N44" s="40">
        <f t="shared" si="3"/>
        <v>2.54</v>
      </c>
      <c r="O44" s="41"/>
    </row>
    <row r="45" spans="1:16" ht="35.25" hidden="1" thickBot="1" x14ac:dyDescent="0.3">
      <c r="A45" s="42" t="s">
        <v>73</v>
      </c>
      <c r="B45" s="43" t="s">
        <v>72</v>
      </c>
      <c r="C45" s="44">
        <v>160</v>
      </c>
      <c r="D45" s="44">
        <v>160</v>
      </c>
      <c r="E45" s="44">
        <v>160</v>
      </c>
      <c r="F45" s="44">
        <v>160</v>
      </c>
      <c r="G45" s="44">
        <v>160</v>
      </c>
      <c r="H45" s="44"/>
      <c r="I45" s="44"/>
      <c r="J45" s="44">
        <v>160</v>
      </c>
      <c r="K45" s="44">
        <v>160</v>
      </c>
      <c r="L45" s="44">
        <v>160</v>
      </c>
      <c r="M45" s="45">
        <f t="shared" si="2"/>
        <v>1</v>
      </c>
      <c r="N45" s="45">
        <f t="shared" si="3"/>
        <v>1</v>
      </c>
      <c r="O45" s="46"/>
    </row>
    <row r="46" spans="1:16" ht="80.25" hidden="1" thickBot="1" x14ac:dyDescent="0.3">
      <c r="A46" s="47" t="s">
        <v>75</v>
      </c>
      <c r="B46" s="48" t="s">
        <v>74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/>
      <c r="I46" s="60"/>
      <c r="J46" s="60">
        <v>0</v>
      </c>
      <c r="K46" s="60">
        <v>0</v>
      </c>
      <c r="L46" s="60">
        <v>0</v>
      </c>
      <c r="M46" s="25" t="e">
        <f t="shared" si="2"/>
        <v>#DIV/0!</v>
      </c>
      <c r="N46" s="25" t="e">
        <f t="shared" si="3"/>
        <v>#DIV/0!</v>
      </c>
      <c r="O46" s="50"/>
    </row>
    <row r="47" spans="1:16" ht="125.25" hidden="1" thickBot="1" x14ac:dyDescent="0.3">
      <c r="A47" s="51" t="s">
        <v>77</v>
      </c>
      <c r="B47" s="52" t="s">
        <v>76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/>
      <c r="I47" s="61"/>
      <c r="J47" s="61">
        <v>0</v>
      </c>
      <c r="K47" s="61">
        <v>0</v>
      </c>
      <c r="L47" s="61">
        <v>0</v>
      </c>
      <c r="M47" s="30" t="e">
        <f t="shared" si="2"/>
        <v>#DIV/0!</v>
      </c>
      <c r="N47" s="30" t="e">
        <f t="shared" si="3"/>
        <v>#DIV/0!</v>
      </c>
      <c r="O47" s="31"/>
    </row>
    <row r="48" spans="1:16" ht="34.5" x14ac:dyDescent="0.25">
      <c r="A48" s="32" t="s">
        <v>79</v>
      </c>
      <c r="B48" s="33" t="s">
        <v>78</v>
      </c>
      <c r="C48" s="62">
        <v>0</v>
      </c>
      <c r="D48" s="62">
        <v>0</v>
      </c>
      <c r="E48" s="62">
        <v>0</v>
      </c>
      <c r="F48" s="62">
        <v>0</v>
      </c>
      <c r="G48" s="62">
        <f>G49</f>
        <v>82.5</v>
      </c>
      <c r="H48" s="62">
        <f>H49</f>
        <v>82.5</v>
      </c>
      <c r="I48" s="62">
        <f>I49</f>
        <v>82.5</v>
      </c>
      <c r="J48" s="62">
        <f t="shared" ref="J48:L48" si="20">J49</f>
        <v>82.5</v>
      </c>
      <c r="K48" s="62">
        <f t="shared" si="20"/>
        <v>82</v>
      </c>
      <c r="L48" s="62">
        <f t="shared" si="20"/>
        <v>82.016260000000003</v>
      </c>
      <c r="M48" s="35" t="e">
        <f t="shared" si="2"/>
        <v>#DIV/0!</v>
      </c>
      <c r="N48" s="35">
        <f t="shared" si="3"/>
        <v>1.0001982926829269</v>
      </c>
      <c r="O48" s="36"/>
    </row>
    <row r="49" spans="1:17" ht="15.75" x14ac:dyDescent="0.25">
      <c r="A49" s="47" t="s">
        <v>81</v>
      </c>
      <c r="B49" s="48" t="s">
        <v>80</v>
      </c>
      <c r="C49" s="60">
        <v>0</v>
      </c>
      <c r="D49" s="60">
        <v>0</v>
      </c>
      <c r="E49" s="60">
        <v>0</v>
      </c>
      <c r="F49" s="60">
        <v>0</v>
      </c>
      <c r="G49" s="60">
        <v>82.5</v>
      </c>
      <c r="H49" s="60">
        <f>G49</f>
        <v>82.5</v>
      </c>
      <c r="I49" s="60">
        <f>H49</f>
        <v>82.5</v>
      </c>
      <c r="J49" s="60">
        <f>I49</f>
        <v>82.5</v>
      </c>
      <c r="K49" s="60">
        <f>J49-0.5</f>
        <v>82</v>
      </c>
      <c r="L49" s="60">
        <v>82.016260000000003</v>
      </c>
      <c r="M49" s="25" t="e">
        <f t="shared" si="2"/>
        <v>#DIV/0!</v>
      </c>
      <c r="N49" s="25">
        <f t="shared" si="3"/>
        <v>1.0001982926829269</v>
      </c>
      <c r="O49" s="50"/>
    </row>
    <row r="50" spans="1:17" ht="34.5" hidden="1" x14ac:dyDescent="0.25">
      <c r="A50" s="47" t="s">
        <v>83</v>
      </c>
      <c r="B50" s="48" t="s">
        <v>82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/>
      <c r="I50" s="60"/>
      <c r="J50" s="60">
        <v>0</v>
      </c>
      <c r="K50" s="60">
        <v>0</v>
      </c>
      <c r="L50" s="60">
        <v>0</v>
      </c>
      <c r="M50" s="25" t="e">
        <f t="shared" si="2"/>
        <v>#DIV/0!</v>
      </c>
      <c r="N50" s="25" t="e">
        <f t="shared" si="3"/>
        <v>#DIV/0!</v>
      </c>
      <c r="O50" s="50"/>
    </row>
    <row r="51" spans="1:17" ht="45.75" hidden="1" x14ac:dyDescent="0.25">
      <c r="A51" s="47" t="s">
        <v>85</v>
      </c>
      <c r="B51" s="48" t="s">
        <v>84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/>
      <c r="I51" s="60"/>
      <c r="J51" s="60">
        <v>0</v>
      </c>
      <c r="K51" s="60">
        <v>0</v>
      </c>
      <c r="L51" s="60">
        <v>0</v>
      </c>
      <c r="M51" s="25" t="e">
        <f t="shared" si="2"/>
        <v>#DIV/0!</v>
      </c>
      <c r="N51" s="25" t="e">
        <f t="shared" si="3"/>
        <v>#DIV/0!</v>
      </c>
      <c r="O51" s="50"/>
    </row>
    <row r="52" spans="1:17" ht="35.25" thickBot="1" x14ac:dyDescent="0.3">
      <c r="A52" s="37" t="s">
        <v>87</v>
      </c>
      <c r="B52" s="38" t="s">
        <v>86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f>H52</f>
        <v>0</v>
      </c>
      <c r="J52" s="63">
        <v>0</v>
      </c>
      <c r="K52" s="63">
        <v>0</v>
      </c>
      <c r="L52" s="63">
        <v>0</v>
      </c>
      <c r="M52" s="40" t="e">
        <f t="shared" si="2"/>
        <v>#DIV/0!</v>
      </c>
      <c r="N52" s="40" t="e">
        <f t="shared" si="3"/>
        <v>#DIV/0!</v>
      </c>
      <c r="O52" s="41"/>
    </row>
    <row r="53" spans="1:17" ht="57.75" hidden="1" thickBot="1" x14ac:dyDescent="0.3">
      <c r="A53" s="42" t="s">
        <v>89</v>
      </c>
      <c r="B53" s="43" t="s">
        <v>88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/>
      <c r="I53" s="64"/>
      <c r="J53" s="64">
        <v>0</v>
      </c>
      <c r="K53" s="64">
        <v>0</v>
      </c>
      <c r="L53" s="64">
        <v>0</v>
      </c>
      <c r="M53" s="45" t="e">
        <f t="shared" si="2"/>
        <v>#DIV/0!</v>
      </c>
      <c r="N53" s="45" t="e">
        <f t="shared" si="3"/>
        <v>#DIV/0!</v>
      </c>
      <c r="O53" s="46"/>
    </row>
    <row r="54" spans="1:17" ht="80.25" hidden="1" thickBot="1" x14ac:dyDescent="0.3">
      <c r="A54" s="51" t="s">
        <v>91</v>
      </c>
      <c r="B54" s="52" t="s">
        <v>90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/>
      <c r="I54" s="61"/>
      <c r="J54" s="61">
        <v>0</v>
      </c>
      <c r="K54" s="61">
        <v>0</v>
      </c>
      <c r="L54" s="61">
        <v>0</v>
      </c>
      <c r="M54" s="30" t="e">
        <f t="shared" si="2"/>
        <v>#DIV/0!</v>
      </c>
      <c r="N54" s="30" t="e">
        <f t="shared" si="3"/>
        <v>#DIV/0!</v>
      </c>
      <c r="O54" s="31"/>
    </row>
    <row r="55" spans="1:17" ht="49.5" customHeight="1" x14ac:dyDescent="0.25">
      <c r="A55" s="32" t="s">
        <v>93</v>
      </c>
      <c r="B55" s="33" t="s">
        <v>92</v>
      </c>
      <c r="C55" s="34">
        <f t="shared" ref="C55:D55" si="21">C56</f>
        <v>34741.699999999997</v>
      </c>
      <c r="D55" s="34">
        <f t="shared" si="21"/>
        <v>34741.699999999997</v>
      </c>
      <c r="E55" s="34">
        <f>E56+E63</f>
        <v>34741.699999999997</v>
      </c>
      <c r="F55" s="34">
        <f t="shared" ref="F55:L55" si="22">F56+F63</f>
        <v>34741.699999999997</v>
      </c>
      <c r="G55" s="34">
        <f t="shared" si="22"/>
        <v>38741.699999999997</v>
      </c>
      <c r="H55" s="34">
        <f t="shared" si="22"/>
        <v>38741.699999999997</v>
      </c>
      <c r="I55" s="34">
        <f t="shared" si="22"/>
        <v>38741.699999999997</v>
      </c>
      <c r="J55" s="34">
        <f t="shared" si="22"/>
        <v>38741.699999999997</v>
      </c>
      <c r="K55" s="34">
        <f t="shared" si="22"/>
        <v>36400</v>
      </c>
      <c r="L55" s="34">
        <f t="shared" si="22"/>
        <v>39938.442970000004</v>
      </c>
      <c r="M55" s="35">
        <f t="shared" si="2"/>
        <v>1.1495822878558046</v>
      </c>
      <c r="N55" s="35">
        <f t="shared" si="3"/>
        <v>1.0972099717032968</v>
      </c>
      <c r="O55" s="36" t="s">
        <v>327</v>
      </c>
      <c r="Q55" s="5"/>
    </row>
    <row r="56" spans="1:17" ht="83.25" customHeight="1" x14ac:dyDescent="0.25">
      <c r="A56" s="47" t="s">
        <v>95</v>
      </c>
      <c r="B56" s="48" t="s">
        <v>94</v>
      </c>
      <c r="C56" s="49">
        <f t="shared" ref="C56:D56" si="23">C58+C62+C65</f>
        <v>34741.699999999997</v>
      </c>
      <c r="D56" s="49">
        <f t="shared" si="23"/>
        <v>34741.699999999997</v>
      </c>
      <c r="E56" s="49">
        <f>E57+E59+E61</f>
        <v>31841.7</v>
      </c>
      <c r="F56" s="49">
        <f t="shared" ref="F56:L56" si="24">F57+F59+F61</f>
        <v>31841.7</v>
      </c>
      <c r="G56" s="49">
        <f t="shared" si="24"/>
        <v>31841.7</v>
      </c>
      <c r="H56" s="49">
        <f t="shared" si="24"/>
        <v>31841.7</v>
      </c>
      <c r="I56" s="49">
        <f t="shared" si="24"/>
        <v>31841.7</v>
      </c>
      <c r="J56" s="49">
        <f t="shared" si="24"/>
        <v>31841.7</v>
      </c>
      <c r="K56" s="49">
        <f t="shared" si="24"/>
        <v>27200</v>
      </c>
      <c r="L56" s="49">
        <f t="shared" si="24"/>
        <v>30177.800429999999</v>
      </c>
      <c r="M56" s="25">
        <f t="shared" si="2"/>
        <v>0.86863338380102306</v>
      </c>
      <c r="N56" s="25">
        <f t="shared" si="3"/>
        <v>1.1094779569852942</v>
      </c>
      <c r="O56" s="50"/>
    </row>
    <row r="57" spans="1:17" ht="61.5" customHeight="1" x14ac:dyDescent="0.25">
      <c r="A57" s="47" t="s">
        <v>97</v>
      </c>
      <c r="B57" s="48" t="s">
        <v>96</v>
      </c>
      <c r="C57" s="49">
        <f t="shared" ref="C57:L57" si="25">C58</f>
        <v>13574.7</v>
      </c>
      <c r="D57" s="49">
        <f t="shared" si="25"/>
        <v>13574.7</v>
      </c>
      <c r="E57" s="49">
        <f t="shared" si="25"/>
        <v>13574.7</v>
      </c>
      <c r="F57" s="49">
        <f t="shared" si="25"/>
        <v>13574.7</v>
      </c>
      <c r="G57" s="49">
        <f t="shared" si="25"/>
        <v>13574.7</v>
      </c>
      <c r="H57" s="49">
        <f>H58</f>
        <v>13574.7</v>
      </c>
      <c r="I57" s="49">
        <f>I58</f>
        <v>13574.7</v>
      </c>
      <c r="J57" s="49">
        <f t="shared" si="25"/>
        <v>13574.7</v>
      </c>
      <c r="K57" s="49">
        <f t="shared" si="25"/>
        <v>13000</v>
      </c>
      <c r="L57" s="49">
        <f t="shared" si="25"/>
        <v>13979.080599999999</v>
      </c>
      <c r="M57" s="25">
        <f t="shared" si="2"/>
        <v>1.0297892844777417</v>
      </c>
      <c r="N57" s="25">
        <f t="shared" si="3"/>
        <v>1.0753138923076924</v>
      </c>
      <c r="O57" s="50"/>
    </row>
    <row r="58" spans="1:17" ht="57" customHeight="1" x14ac:dyDescent="0.25">
      <c r="A58" s="47" t="s">
        <v>99</v>
      </c>
      <c r="B58" s="48" t="s">
        <v>98</v>
      </c>
      <c r="C58" s="49">
        <v>13574.7</v>
      </c>
      <c r="D58" s="49">
        <f t="shared" ref="D58:J58" si="26">C58</f>
        <v>13574.7</v>
      </c>
      <c r="E58" s="49">
        <f t="shared" si="26"/>
        <v>13574.7</v>
      </c>
      <c r="F58" s="49">
        <f t="shared" si="26"/>
        <v>13574.7</v>
      </c>
      <c r="G58" s="49">
        <f t="shared" si="26"/>
        <v>13574.7</v>
      </c>
      <c r="H58" s="49">
        <f t="shared" si="26"/>
        <v>13574.7</v>
      </c>
      <c r="I58" s="49">
        <f t="shared" si="26"/>
        <v>13574.7</v>
      </c>
      <c r="J58" s="49">
        <f t="shared" si="26"/>
        <v>13574.7</v>
      </c>
      <c r="K58" s="49">
        <f>J58-574.7</f>
        <v>13000</v>
      </c>
      <c r="L58" s="49">
        <v>13979.080599999999</v>
      </c>
      <c r="M58" s="25">
        <f t="shared" si="2"/>
        <v>1.0297892844777417</v>
      </c>
      <c r="N58" s="25">
        <f t="shared" si="3"/>
        <v>1.0753138923076924</v>
      </c>
      <c r="O58" s="50"/>
    </row>
    <row r="59" spans="1:17" ht="57" customHeight="1" x14ac:dyDescent="0.25">
      <c r="A59" s="47" t="s">
        <v>308</v>
      </c>
      <c r="B59" s="48" t="s">
        <v>310</v>
      </c>
      <c r="C59" s="49"/>
      <c r="D59" s="49"/>
      <c r="E59" s="49"/>
      <c r="F59" s="49"/>
      <c r="G59" s="49"/>
      <c r="H59" s="49"/>
      <c r="I59" s="49"/>
      <c r="J59" s="49"/>
      <c r="K59" s="49"/>
      <c r="L59" s="49">
        <f>L60</f>
        <v>134.17947000000001</v>
      </c>
      <c r="M59" s="25" t="e">
        <f t="shared" si="2"/>
        <v>#DIV/0!</v>
      </c>
      <c r="N59" s="25" t="e">
        <f t="shared" si="3"/>
        <v>#DIV/0!</v>
      </c>
      <c r="O59" s="50"/>
    </row>
    <row r="60" spans="1:17" ht="57" customHeight="1" x14ac:dyDescent="0.25">
      <c r="A60" s="47" t="s">
        <v>309</v>
      </c>
      <c r="B60" s="48" t="s">
        <v>311</v>
      </c>
      <c r="C60" s="49"/>
      <c r="D60" s="49"/>
      <c r="E60" s="49"/>
      <c r="F60" s="49"/>
      <c r="G60" s="49"/>
      <c r="H60" s="49"/>
      <c r="I60" s="49"/>
      <c r="J60" s="49"/>
      <c r="K60" s="49"/>
      <c r="L60" s="49">
        <v>134.17947000000001</v>
      </c>
      <c r="M60" s="25" t="e">
        <f t="shared" si="2"/>
        <v>#DIV/0!</v>
      </c>
      <c r="N60" s="25" t="e">
        <f t="shared" si="3"/>
        <v>#DIV/0!</v>
      </c>
      <c r="O60" s="50"/>
    </row>
    <row r="61" spans="1:17" ht="80.25" customHeight="1" x14ac:dyDescent="0.25">
      <c r="A61" s="47" t="s">
        <v>101</v>
      </c>
      <c r="B61" s="48" t="s">
        <v>100</v>
      </c>
      <c r="C61" s="49">
        <f t="shared" ref="C61:L61" si="27">C62</f>
        <v>18267</v>
      </c>
      <c r="D61" s="49">
        <f t="shared" si="27"/>
        <v>18267</v>
      </c>
      <c r="E61" s="49">
        <f t="shared" si="27"/>
        <v>18267</v>
      </c>
      <c r="F61" s="49">
        <f t="shared" si="27"/>
        <v>18267</v>
      </c>
      <c r="G61" s="49">
        <f t="shared" si="27"/>
        <v>18267</v>
      </c>
      <c r="H61" s="49">
        <f>H62</f>
        <v>18267</v>
      </c>
      <c r="I61" s="49">
        <f>I62</f>
        <v>18267</v>
      </c>
      <c r="J61" s="49">
        <f t="shared" si="27"/>
        <v>18267</v>
      </c>
      <c r="K61" s="49">
        <f t="shared" si="27"/>
        <v>14200</v>
      </c>
      <c r="L61" s="49">
        <f t="shared" si="27"/>
        <v>16064.540360000001</v>
      </c>
      <c r="M61" s="25">
        <f t="shared" si="2"/>
        <v>0.87942959216072702</v>
      </c>
      <c r="N61" s="25">
        <f t="shared" si="3"/>
        <v>1.1313056591549295</v>
      </c>
      <c r="O61" s="50"/>
    </row>
    <row r="62" spans="1:17" ht="63" customHeight="1" x14ac:dyDescent="0.25">
      <c r="A62" s="47" t="s">
        <v>103</v>
      </c>
      <c r="B62" s="48" t="s">
        <v>102</v>
      </c>
      <c r="C62" s="49">
        <v>18267</v>
      </c>
      <c r="D62" s="49">
        <f t="shared" ref="D62:J62" si="28">C62</f>
        <v>18267</v>
      </c>
      <c r="E62" s="49">
        <f t="shared" si="28"/>
        <v>18267</v>
      </c>
      <c r="F62" s="49">
        <f t="shared" si="28"/>
        <v>18267</v>
      </c>
      <c r="G62" s="49">
        <f t="shared" si="28"/>
        <v>18267</v>
      </c>
      <c r="H62" s="49">
        <f t="shared" si="28"/>
        <v>18267</v>
      </c>
      <c r="I62" s="49">
        <f t="shared" si="28"/>
        <v>18267</v>
      </c>
      <c r="J62" s="49">
        <f t="shared" si="28"/>
        <v>18267</v>
      </c>
      <c r="K62" s="49">
        <f>J62-4067</f>
        <v>14200</v>
      </c>
      <c r="L62" s="49">
        <v>16064.540360000001</v>
      </c>
      <c r="M62" s="25">
        <f t="shared" si="2"/>
        <v>0.87942959216072702</v>
      </c>
      <c r="N62" s="25">
        <f t="shared" si="3"/>
        <v>1.1313056591549295</v>
      </c>
      <c r="O62" s="50"/>
    </row>
    <row r="63" spans="1:17" ht="87.75" customHeight="1" x14ac:dyDescent="0.25">
      <c r="A63" s="47" t="s">
        <v>312</v>
      </c>
      <c r="B63" s="48" t="s">
        <v>313</v>
      </c>
      <c r="C63" s="49">
        <f>C64+C66</f>
        <v>2900</v>
      </c>
      <c r="D63" s="49">
        <f t="shared" ref="D63" si="29">D64+D66</f>
        <v>2900</v>
      </c>
      <c r="E63" s="49">
        <f>E64+E66</f>
        <v>2900</v>
      </c>
      <c r="F63" s="49">
        <f t="shared" ref="F63:L63" si="30">F64+F66</f>
        <v>2900</v>
      </c>
      <c r="G63" s="49">
        <f t="shared" si="30"/>
        <v>6900</v>
      </c>
      <c r="H63" s="49">
        <f t="shared" si="30"/>
        <v>6900</v>
      </c>
      <c r="I63" s="49">
        <f t="shared" si="30"/>
        <v>6900</v>
      </c>
      <c r="J63" s="49">
        <f t="shared" si="30"/>
        <v>6900</v>
      </c>
      <c r="K63" s="49">
        <f t="shared" si="30"/>
        <v>9200</v>
      </c>
      <c r="L63" s="49">
        <f t="shared" si="30"/>
        <v>9760.6425400000007</v>
      </c>
      <c r="M63" s="25">
        <f t="shared" si="2"/>
        <v>3.3657388068965521</v>
      </c>
      <c r="N63" s="25">
        <f t="shared" si="3"/>
        <v>1.0609394065217392</v>
      </c>
      <c r="O63" s="50"/>
    </row>
    <row r="64" spans="1:17" ht="94.5" customHeight="1" x14ac:dyDescent="0.25">
      <c r="A64" s="47" t="s">
        <v>104</v>
      </c>
      <c r="B64" s="48" t="s">
        <v>255</v>
      </c>
      <c r="C64" s="49">
        <f t="shared" ref="C64:L64" si="31">C65</f>
        <v>2900</v>
      </c>
      <c r="D64" s="49">
        <f t="shared" si="31"/>
        <v>2900</v>
      </c>
      <c r="E64" s="49">
        <f t="shared" si="31"/>
        <v>2900</v>
      </c>
      <c r="F64" s="49">
        <f t="shared" si="31"/>
        <v>2900</v>
      </c>
      <c r="G64" s="49">
        <f t="shared" si="31"/>
        <v>2900</v>
      </c>
      <c r="H64" s="49">
        <f>H65</f>
        <v>2900</v>
      </c>
      <c r="I64" s="49">
        <f>I65</f>
        <v>2900</v>
      </c>
      <c r="J64" s="49">
        <f t="shared" si="31"/>
        <v>2900</v>
      </c>
      <c r="K64" s="49">
        <f t="shared" si="31"/>
        <v>2900</v>
      </c>
      <c r="L64" s="49">
        <f t="shared" si="31"/>
        <v>3103.9789700000001</v>
      </c>
      <c r="M64" s="25">
        <f t="shared" si="2"/>
        <v>1.070337575862069</v>
      </c>
      <c r="N64" s="25">
        <f t="shared" si="3"/>
        <v>1.070337575862069</v>
      </c>
      <c r="O64" s="50"/>
    </row>
    <row r="65" spans="1:15" ht="87.75" customHeight="1" x14ac:dyDescent="0.25">
      <c r="A65" s="47" t="s">
        <v>105</v>
      </c>
      <c r="B65" s="48" t="s">
        <v>256</v>
      </c>
      <c r="C65" s="49">
        <v>2900</v>
      </c>
      <c r="D65" s="49">
        <f t="shared" ref="D65:K65" si="32">C65</f>
        <v>2900</v>
      </c>
      <c r="E65" s="49">
        <f t="shared" si="32"/>
        <v>2900</v>
      </c>
      <c r="F65" s="49">
        <f t="shared" si="32"/>
        <v>2900</v>
      </c>
      <c r="G65" s="49">
        <f t="shared" si="32"/>
        <v>2900</v>
      </c>
      <c r="H65" s="49">
        <f t="shared" si="32"/>
        <v>2900</v>
      </c>
      <c r="I65" s="49">
        <f t="shared" si="32"/>
        <v>2900</v>
      </c>
      <c r="J65" s="49">
        <f t="shared" si="32"/>
        <v>2900</v>
      </c>
      <c r="K65" s="49">
        <f t="shared" si="32"/>
        <v>2900</v>
      </c>
      <c r="L65" s="49">
        <v>3103.9789700000001</v>
      </c>
      <c r="M65" s="25">
        <f t="shared" si="2"/>
        <v>1.070337575862069</v>
      </c>
      <c r="N65" s="25">
        <f t="shared" si="3"/>
        <v>1.070337575862069</v>
      </c>
      <c r="O65" s="50"/>
    </row>
    <row r="66" spans="1:15" ht="93" customHeight="1" x14ac:dyDescent="0.25">
      <c r="A66" s="47" t="s">
        <v>290</v>
      </c>
      <c r="B66" s="48" t="s">
        <v>291</v>
      </c>
      <c r="C66" s="49"/>
      <c r="D66" s="49"/>
      <c r="E66" s="49"/>
      <c r="F66" s="49">
        <f>F67</f>
        <v>0</v>
      </c>
      <c r="G66" s="49">
        <f t="shared" ref="G66:L66" si="33">G67</f>
        <v>4000</v>
      </c>
      <c r="H66" s="49">
        <f>H67</f>
        <v>4000</v>
      </c>
      <c r="I66" s="49">
        <f>I67</f>
        <v>4000</v>
      </c>
      <c r="J66" s="49">
        <f t="shared" si="33"/>
        <v>4000</v>
      </c>
      <c r="K66" s="49">
        <f t="shared" si="33"/>
        <v>6300</v>
      </c>
      <c r="L66" s="49">
        <f t="shared" si="33"/>
        <v>6656.6635699999997</v>
      </c>
      <c r="M66" s="25" t="e">
        <f t="shared" si="2"/>
        <v>#DIV/0!</v>
      </c>
      <c r="N66" s="25">
        <f t="shared" si="3"/>
        <v>1.0566132650793649</v>
      </c>
      <c r="O66" s="65" t="s">
        <v>331</v>
      </c>
    </row>
    <row r="67" spans="1:15" ht="147.75" customHeight="1" thickBot="1" x14ac:dyDescent="0.3">
      <c r="A67" s="37" t="s">
        <v>290</v>
      </c>
      <c r="B67" s="38" t="s">
        <v>292</v>
      </c>
      <c r="C67" s="39"/>
      <c r="D67" s="39"/>
      <c r="E67" s="39"/>
      <c r="F67" s="39"/>
      <c r="G67" s="39">
        <v>4000</v>
      </c>
      <c r="H67" s="39">
        <f>G67</f>
        <v>4000</v>
      </c>
      <c r="I67" s="39">
        <f>H67</f>
        <v>4000</v>
      </c>
      <c r="J67" s="39">
        <f>I67</f>
        <v>4000</v>
      </c>
      <c r="K67" s="39">
        <f>J67+2300</f>
        <v>6300</v>
      </c>
      <c r="L67" s="39">
        <v>6656.6635699999997</v>
      </c>
      <c r="M67" s="40" t="e">
        <f t="shared" si="2"/>
        <v>#DIV/0!</v>
      </c>
      <c r="N67" s="40">
        <f t="shared" si="3"/>
        <v>1.0566132650793649</v>
      </c>
      <c r="O67" s="41"/>
    </row>
    <row r="68" spans="1:15" ht="74.25" customHeight="1" x14ac:dyDescent="0.25">
      <c r="A68" s="42" t="s">
        <v>107</v>
      </c>
      <c r="B68" s="43" t="s">
        <v>106</v>
      </c>
      <c r="C68" s="44">
        <f t="shared" ref="C68:L68" si="34">C69</f>
        <v>1085</v>
      </c>
      <c r="D68" s="44">
        <f t="shared" si="34"/>
        <v>1085</v>
      </c>
      <c r="E68" s="44">
        <f t="shared" si="34"/>
        <v>1085</v>
      </c>
      <c r="F68" s="44">
        <f t="shared" si="34"/>
        <v>1085</v>
      </c>
      <c r="G68" s="44">
        <f t="shared" si="34"/>
        <v>1085</v>
      </c>
      <c r="H68" s="44">
        <f>H69</f>
        <v>1085</v>
      </c>
      <c r="I68" s="44">
        <f>I69</f>
        <v>1085</v>
      </c>
      <c r="J68" s="44">
        <f t="shared" si="34"/>
        <v>1085</v>
      </c>
      <c r="K68" s="44">
        <f t="shared" si="34"/>
        <v>1300</v>
      </c>
      <c r="L68" s="44">
        <f t="shared" si="34"/>
        <v>1359.34168</v>
      </c>
      <c r="M68" s="45">
        <f t="shared" si="2"/>
        <v>1.2528494746543779</v>
      </c>
      <c r="N68" s="45">
        <f t="shared" si="3"/>
        <v>1.0456474461538461</v>
      </c>
      <c r="O68" s="66"/>
    </row>
    <row r="69" spans="1:15" ht="21.75" customHeight="1" x14ac:dyDescent="0.25">
      <c r="A69" s="47" t="s">
        <v>109</v>
      </c>
      <c r="B69" s="48" t="s">
        <v>108</v>
      </c>
      <c r="C69" s="49">
        <f>C70+C71+C72</f>
        <v>1085</v>
      </c>
      <c r="D69" s="49">
        <f t="shared" ref="D69:L69" si="35">D70+D71+D72</f>
        <v>1085</v>
      </c>
      <c r="E69" s="49">
        <f t="shared" si="35"/>
        <v>1085</v>
      </c>
      <c r="F69" s="49">
        <f t="shared" si="35"/>
        <v>1085</v>
      </c>
      <c r="G69" s="49">
        <f t="shared" si="35"/>
        <v>1085</v>
      </c>
      <c r="H69" s="49">
        <f>H70+H71+H72</f>
        <v>1085</v>
      </c>
      <c r="I69" s="49">
        <f>I70+I71+I72</f>
        <v>1085</v>
      </c>
      <c r="J69" s="49">
        <f t="shared" si="35"/>
        <v>1085</v>
      </c>
      <c r="K69" s="49">
        <f t="shared" si="35"/>
        <v>1300</v>
      </c>
      <c r="L69" s="49">
        <f t="shared" si="35"/>
        <v>1359.34168</v>
      </c>
      <c r="M69" s="25">
        <f t="shared" si="2"/>
        <v>1.2528494746543779</v>
      </c>
      <c r="N69" s="25">
        <f t="shared" si="3"/>
        <v>1.0456474461538461</v>
      </c>
      <c r="O69" s="50"/>
    </row>
    <row r="70" spans="1:15" ht="27" customHeight="1" x14ac:dyDescent="0.25">
      <c r="A70" s="47" t="s">
        <v>111</v>
      </c>
      <c r="B70" s="48" t="s">
        <v>110</v>
      </c>
      <c r="C70" s="49">
        <v>90</v>
      </c>
      <c r="D70" s="49">
        <f t="shared" ref="D70:J70" si="36">C70</f>
        <v>90</v>
      </c>
      <c r="E70" s="49">
        <f t="shared" si="36"/>
        <v>90</v>
      </c>
      <c r="F70" s="49">
        <f t="shared" si="36"/>
        <v>90</v>
      </c>
      <c r="G70" s="49">
        <f t="shared" si="36"/>
        <v>90</v>
      </c>
      <c r="H70" s="49">
        <f t="shared" si="36"/>
        <v>90</v>
      </c>
      <c r="I70" s="49">
        <f t="shared" si="36"/>
        <v>90</v>
      </c>
      <c r="J70" s="49">
        <f t="shared" si="36"/>
        <v>90</v>
      </c>
      <c r="K70" s="49">
        <f>J70+57</f>
        <v>147</v>
      </c>
      <c r="L70" s="49">
        <v>147.52414999999999</v>
      </c>
      <c r="M70" s="25">
        <f t="shared" si="2"/>
        <v>1.6391572222222222</v>
      </c>
      <c r="N70" s="25">
        <f t="shared" si="3"/>
        <v>1.0035656462585034</v>
      </c>
      <c r="O70" s="50"/>
    </row>
    <row r="71" spans="1:15" ht="27.75" customHeight="1" x14ac:dyDescent="0.25">
      <c r="A71" s="47" t="s">
        <v>113</v>
      </c>
      <c r="B71" s="48" t="s">
        <v>112</v>
      </c>
      <c r="C71" s="49">
        <v>40</v>
      </c>
      <c r="D71" s="49">
        <f t="shared" ref="D71:D74" si="37">C71</f>
        <v>40</v>
      </c>
      <c r="E71" s="49">
        <f t="shared" ref="E71:J71" si="38">D71</f>
        <v>40</v>
      </c>
      <c r="F71" s="49">
        <f t="shared" si="38"/>
        <v>40</v>
      </c>
      <c r="G71" s="49">
        <f t="shared" si="38"/>
        <v>40</v>
      </c>
      <c r="H71" s="49">
        <f t="shared" si="38"/>
        <v>40</v>
      </c>
      <c r="I71" s="49">
        <f t="shared" si="38"/>
        <v>40</v>
      </c>
      <c r="J71" s="49">
        <f t="shared" si="38"/>
        <v>40</v>
      </c>
      <c r="K71" s="49">
        <f>J71+19</f>
        <v>59</v>
      </c>
      <c r="L71" s="49">
        <v>59.760129999999997</v>
      </c>
      <c r="M71" s="25">
        <f t="shared" si="2"/>
        <v>1.49400325</v>
      </c>
      <c r="N71" s="25">
        <f t="shared" si="3"/>
        <v>1.0128835593220338</v>
      </c>
      <c r="O71" s="50"/>
    </row>
    <row r="72" spans="1:15" ht="24.75" customHeight="1" x14ac:dyDescent="0.25">
      <c r="A72" s="47" t="s">
        <v>115</v>
      </c>
      <c r="B72" s="48" t="s">
        <v>114</v>
      </c>
      <c r="C72" s="49">
        <f>C73+C74</f>
        <v>955</v>
      </c>
      <c r="D72" s="49">
        <f t="shared" si="37"/>
        <v>955</v>
      </c>
      <c r="E72" s="49">
        <f t="shared" ref="E72:G72" si="39">E73+E74</f>
        <v>955</v>
      </c>
      <c r="F72" s="49">
        <f t="shared" si="39"/>
        <v>955</v>
      </c>
      <c r="G72" s="49">
        <f t="shared" si="39"/>
        <v>955</v>
      </c>
      <c r="H72" s="49">
        <f>H73+H74</f>
        <v>955</v>
      </c>
      <c r="I72" s="49">
        <f>I73+I74</f>
        <v>955</v>
      </c>
      <c r="J72" s="49">
        <f>J73+J74</f>
        <v>955</v>
      </c>
      <c r="K72" s="49">
        <f>K73+K74</f>
        <v>1094</v>
      </c>
      <c r="L72" s="49">
        <f>L73+L74</f>
        <v>1152.0573999999999</v>
      </c>
      <c r="M72" s="25">
        <f t="shared" si="2"/>
        <v>1.2063428272251309</v>
      </c>
      <c r="N72" s="25">
        <f t="shared" si="3"/>
        <v>1.0530689213893967</v>
      </c>
      <c r="O72" s="50"/>
    </row>
    <row r="73" spans="1:15" ht="17.25" customHeight="1" x14ac:dyDescent="0.25">
      <c r="A73" s="47" t="s">
        <v>117</v>
      </c>
      <c r="B73" s="48" t="s">
        <v>116</v>
      </c>
      <c r="C73" s="49">
        <v>953</v>
      </c>
      <c r="D73" s="49">
        <f t="shared" si="37"/>
        <v>953</v>
      </c>
      <c r="E73" s="49">
        <f t="shared" ref="E73:J74" si="40">D73</f>
        <v>953</v>
      </c>
      <c r="F73" s="49">
        <f t="shared" si="40"/>
        <v>953</v>
      </c>
      <c r="G73" s="49">
        <f t="shared" si="40"/>
        <v>953</v>
      </c>
      <c r="H73" s="49">
        <f t="shared" si="40"/>
        <v>953</v>
      </c>
      <c r="I73" s="49">
        <f t="shared" si="40"/>
        <v>953</v>
      </c>
      <c r="J73" s="49">
        <f t="shared" si="40"/>
        <v>953</v>
      </c>
      <c r="K73" s="49">
        <f>J73+130</f>
        <v>1083</v>
      </c>
      <c r="L73" s="49">
        <v>1140.7842499999999</v>
      </c>
      <c r="M73" s="25">
        <f t="shared" ref="M73:M110" si="41">L73/C73</f>
        <v>1.1970453830010492</v>
      </c>
      <c r="N73" s="25">
        <f t="shared" ref="N73:N110" si="42">L73/K73</f>
        <v>1.0533557248384118</v>
      </c>
      <c r="O73" s="50"/>
    </row>
    <row r="74" spans="1:15" ht="24" customHeight="1" thickBot="1" x14ac:dyDescent="0.3">
      <c r="A74" s="37" t="s">
        <v>119</v>
      </c>
      <c r="B74" s="38" t="s">
        <v>118</v>
      </c>
      <c r="C74" s="39">
        <v>2</v>
      </c>
      <c r="D74" s="49">
        <f t="shared" si="37"/>
        <v>2</v>
      </c>
      <c r="E74" s="39">
        <f t="shared" si="40"/>
        <v>2</v>
      </c>
      <c r="F74" s="39">
        <f t="shared" si="40"/>
        <v>2</v>
      </c>
      <c r="G74" s="39">
        <f t="shared" si="40"/>
        <v>2</v>
      </c>
      <c r="H74" s="39">
        <f t="shared" si="40"/>
        <v>2</v>
      </c>
      <c r="I74" s="39">
        <f t="shared" si="40"/>
        <v>2</v>
      </c>
      <c r="J74" s="39">
        <f t="shared" si="40"/>
        <v>2</v>
      </c>
      <c r="K74" s="39">
        <f>J74+9</f>
        <v>11</v>
      </c>
      <c r="L74" s="39">
        <v>11.273149999999999</v>
      </c>
      <c r="M74" s="40">
        <f t="shared" si="41"/>
        <v>5.6365749999999997</v>
      </c>
      <c r="N74" s="40">
        <f t="shared" si="42"/>
        <v>1.0248318181818181</v>
      </c>
      <c r="O74" s="41"/>
    </row>
    <row r="75" spans="1:15" ht="50.25" customHeight="1" thickBot="1" x14ac:dyDescent="0.3">
      <c r="A75" s="32" t="s">
        <v>121</v>
      </c>
      <c r="B75" s="33" t="s">
        <v>120</v>
      </c>
      <c r="C75" s="34">
        <v>0</v>
      </c>
      <c r="D75" s="34">
        <v>0</v>
      </c>
      <c r="E75" s="34">
        <f>E80</f>
        <v>0</v>
      </c>
      <c r="F75" s="34">
        <f>F80</f>
        <v>0</v>
      </c>
      <c r="G75" s="34">
        <f>G80</f>
        <v>0</v>
      </c>
      <c r="H75" s="34">
        <f>G75</f>
        <v>0</v>
      </c>
      <c r="I75" s="34">
        <f>H75</f>
        <v>0</v>
      </c>
      <c r="J75" s="34">
        <f>J80</f>
        <v>0</v>
      </c>
      <c r="K75" s="34">
        <f>K78</f>
        <v>200</v>
      </c>
      <c r="L75" s="34">
        <f>L78+L76</f>
        <v>233.66854000000001</v>
      </c>
      <c r="M75" s="35" t="e">
        <f>L75/C75</f>
        <v>#DIV/0!</v>
      </c>
      <c r="N75" s="35">
        <f t="shared" si="42"/>
        <v>1.1683427</v>
      </c>
      <c r="O75" s="67"/>
    </row>
    <row r="76" spans="1:15" ht="50.25" customHeight="1" thickBot="1" x14ac:dyDescent="0.3">
      <c r="A76" s="42" t="s">
        <v>314</v>
      </c>
      <c r="B76" s="43" t="s">
        <v>315</v>
      </c>
      <c r="C76" s="44"/>
      <c r="D76" s="44"/>
      <c r="E76" s="44"/>
      <c r="F76" s="44"/>
      <c r="G76" s="44"/>
      <c r="H76" s="44"/>
      <c r="I76" s="44"/>
      <c r="J76" s="44"/>
      <c r="K76" s="44"/>
      <c r="L76" s="44">
        <v>2.9</v>
      </c>
      <c r="M76" s="35" t="e">
        <f>L76/C76</f>
        <v>#DIV/0!</v>
      </c>
      <c r="N76" s="45" t="e">
        <f>L76/K76</f>
        <v>#DIV/0!</v>
      </c>
      <c r="O76" s="68"/>
    </row>
    <row r="77" spans="1:15" ht="79.5" customHeight="1" thickBot="1" x14ac:dyDescent="0.3">
      <c r="A77" s="42" t="s">
        <v>316</v>
      </c>
      <c r="B77" s="43" t="s">
        <v>317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35" t="e">
        <f>L77/C77</f>
        <v>#DIV/0!</v>
      </c>
      <c r="N77" s="45" t="e">
        <f>L77/K77</f>
        <v>#DIV/0!</v>
      </c>
      <c r="O77" s="68"/>
    </row>
    <row r="78" spans="1:15" ht="24" thickBot="1" x14ac:dyDescent="0.3">
      <c r="A78" s="47" t="s">
        <v>123</v>
      </c>
      <c r="B78" s="48" t="s">
        <v>122</v>
      </c>
      <c r="C78" s="60">
        <v>0</v>
      </c>
      <c r="D78" s="60">
        <v>0</v>
      </c>
      <c r="E78" s="60">
        <f>E80</f>
        <v>0</v>
      </c>
      <c r="F78" s="60">
        <f>F80</f>
        <v>0</v>
      </c>
      <c r="G78" s="60">
        <f>G80</f>
        <v>0</v>
      </c>
      <c r="H78" s="60">
        <f>H79</f>
        <v>0</v>
      </c>
      <c r="I78" s="60">
        <f>H78</f>
        <v>0</v>
      </c>
      <c r="J78" s="60">
        <f>J80</f>
        <v>0</v>
      </c>
      <c r="K78" s="60">
        <f t="shared" ref="K78:L79" si="43">K79</f>
        <v>200</v>
      </c>
      <c r="L78" s="60">
        <f t="shared" si="43"/>
        <v>230.76854</v>
      </c>
      <c r="M78" s="35" t="e">
        <f t="shared" ref="M78:M80" si="44">L78/C78</f>
        <v>#DIV/0!</v>
      </c>
      <c r="N78" s="25">
        <f t="shared" si="42"/>
        <v>1.1538427</v>
      </c>
      <c r="O78" s="50"/>
    </row>
    <row r="79" spans="1:15" ht="24.75" customHeight="1" thickBot="1" x14ac:dyDescent="0.3">
      <c r="A79" s="47" t="s">
        <v>125</v>
      </c>
      <c r="B79" s="48" t="s">
        <v>124</v>
      </c>
      <c r="C79" s="60">
        <v>0</v>
      </c>
      <c r="D79" s="60">
        <v>0</v>
      </c>
      <c r="E79" s="60">
        <f>E80</f>
        <v>0</v>
      </c>
      <c r="F79" s="60">
        <f>F80</f>
        <v>0</v>
      </c>
      <c r="G79" s="60">
        <f>G80</f>
        <v>0</v>
      </c>
      <c r="H79" s="60">
        <f>H80</f>
        <v>0</v>
      </c>
      <c r="I79" s="60">
        <f>H79</f>
        <v>0</v>
      </c>
      <c r="J79" s="60">
        <f>J80</f>
        <v>0</v>
      </c>
      <c r="K79" s="60">
        <f t="shared" si="43"/>
        <v>200</v>
      </c>
      <c r="L79" s="60">
        <f t="shared" si="43"/>
        <v>230.76854</v>
      </c>
      <c r="M79" s="35" t="e">
        <f t="shared" si="44"/>
        <v>#DIV/0!</v>
      </c>
      <c r="N79" s="25">
        <f t="shared" si="42"/>
        <v>1.1538427</v>
      </c>
      <c r="O79" s="50"/>
    </row>
    <row r="80" spans="1:15" ht="30.75" customHeight="1" thickBot="1" x14ac:dyDescent="0.3">
      <c r="A80" s="37" t="s">
        <v>127</v>
      </c>
      <c r="B80" s="38" t="s">
        <v>126</v>
      </c>
      <c r="C80" s="63">
        <v>0</v>
      </c>
      <c r="D80" s="63">
        <v>0</v>
      </c>
      <c r="E80" s="63">
        <f>D80</f>
        <v>0</v>
      </c>
      <c r="F80" s="63">
        <v>0</v>
      </c>
      <c r="G80" s="63">
        <v>0</v>
      </c>
      <c r="H80" s="63">
        <f>G80</f>
        <v>0</v>
      </c>
      <c r="I80" s="63">
        <f>H80</f>
        <v>0</v>
      </c>
      <c r="J80" s="63">
        <v>0</v>
      </c>
      <c r="K80" s="63">
        <v>200</v>
      </c>
      <c r="L80" s="63">
        <v>230.76854</v>
      </c>
      <c r="M80" s="35" t="e">
        <f t="shared" si="44"/>
        <v>#DIV/0!</v>
      </c>
      <c r="N80" s="40">
        <f t="shared" si="42"/>
        <v>1.1538427</v>
      </c>
      <c r="O80" s="41"/>
    </row>
    <row r="81" spans="1:15" ht="34.5" x14ac:dyDescent="0.25">
      <c r="A81" s="69" t="s">
        <v>129</v>
      </c>
      <c r="B81" s="43" t="s">
        <v>128</v>
      </c>
      <c r="C81" s="44">
        <f t="shared" ref="C81:L81" si="45">C82+C85</f>
        <v>7500</v>
      </c>
      <c r="D81" s="44">
        <f t="shared" si="45"/>
        <v>7500</v>
      </c>
      <c r="E81" s="44">
        <f t="shared" si="45"/>
        <v>7500</v>
      </c>
      <c r="F81" s="44">
        <f t="shared" si="45"/>
        <v>7500</v>
      </c>
      <c r="G81" s="44">
        <f t="shared" si="45"/>
        <v>7500</v>
      </c>
      <c r="H81" s="44">
        <f>H82+H85</f>
        <v>7500</v>
      </c>
      <c r="I81" s="44">
        <f>I82+I85</f>
        <v>7500</v>
      </c>
      <c r="J81" s="44">
        <f t="shared" si="45"/>
        <v>7500</v>
      </c>
      <c r="K81" s="44">
        <f t="shared" si="45"/>
        <v>10400</v>
      </c>
      <c r="L81" s="44">
        <f t="shared" si="45"/>
        <v>10996.584159999999</v>
      </c>
      <c r="M81" s="45">
        <f t="shared" si="41"/>
        <v>1.4662112213333331</v>
      </c>
      <c r="N81" s="45">
        <f t="shared" si="42"/>
        <v>1.0573638615384613</v>
      </c>
      <c r="O81" s="70" t="s">
        <v>328</v>
      </c>
    </row>
    <row r="82" spans="1:15" ht="102" x14ac:dyDescent="0.25">
      <c r="A82" s="71" t="s">
        <v>131</v>
      </c>
      <c r="B82" s="48" t="s">
        <v>130</v>
      </c>
      <c r="C82" s="49">
        <f t="shared" ref="C82:J83" si="46">C83</f>
        <v>4000</v>
      </c>
      <c r="D82" s="49">
        <f t="shared" si="46"/>
        <v>4000</v>
      </c>
      <c r="E82" s="49">
        <f t="shared" si="46"/>
        <v>4000</v>
      </c>
      <c r="F82" s="49">
        <f t="shared" si="46"/>
        <v>4000</v>
      </c>
      <c r="G82" s="49">
        <f t="shared" si="46"/>
        <v>4000</v>
      </c>
      <c r="H82" s="49">
        <f>H83</f>
        <v>4000</v>
      </c>
      <c r="I82" s="49">
        <f>I83</f>
        <v>4000</v>
      </c>
      <c r="J82" s="49">
        <f t="shared" si="46"/>
        <v>4000</v>
      </c>
      <c r="K82" s="49">
        <f>K84</f>
        <v>5200</v>
      </c>
      <c r="L82" s="49">
        <f>L84</f>
        <v>5349.9992599999996</v>
      </c>
      <c r="M82" s="25">
        <f t="shared" si="41"/>
        <v>1.3374998149999999</v>
      </c>
      <c r="N82" s="25">
        <f t="shared" si="42"/>
        <v>1.0288460115384614</v>
      </c>
      <c r="O82" s="70" t="s">
        <v>329</v>
      </c>
    </row>
    <row r="83" spans="1:15" ht="24.75" customHeight="1" x14ac:dyDescent="0.25">
      <c r="A83" s="71" t="s">
        <v>133</v>
      </c>
      <c r="B83" s="48" t="s">
        <v>132</v>
      </c>
      <c r="C83" s="49">
        <f t="shared" si="46"/>
        <v>4000</v>
      </c>
      <c r="D83" s="49">
        <f t="shared" si="46"/>
        <v>4000</v>
      </c>
      <c r="E83" s="49">
        <f t="shared" si="46"/>
        <v>4000</v>
      </c>
      <c r="F83" s="49">
        <f t="shared" si="46"/>
        <v>4000</v>
      </c>
      <c r="G83" s="49">
        <f t="shared" si="46"/>
        <v>4000</v>
      </c>
      <c r="H83" s="49">
        <f>H84</f>
        <v>4000</v>
      </c>
      <c r="I83" s="49">
        <f>I84</f>
        <v>4000</v>
      </c>
      <c r="J83" s="49">
        <f t="shared" si="46"/>
        <v>4000</v>
      </c>
      <c r="K83" s="49">
        <f>K84</f>
        <v>5200</v>
      </c>
      <c r="L83" s="49">
        <f>L84</f>
        <v>5349.9992599999996</v>
      </c>
      <c r="M83" s="25">
        <f t="shared" si="41"/>
        <v>1.3374998149999999</v>
      </c>
      <c r="N83" s="25">
        <f t="shared" si="42"/>
        <v>1.0288460115384614</v>
      </c>
      <c r="O83" s="72"/>
    </row>
    <row r="84" spans="1:15" ht="36.75" customHeight="1" x14ac:dyDescent="0.25">
      <c r="A84" s="71" t="s">
        <v>135</v>
      </c>
      <c r="B84" s="48" t="s">
        <v>134</v>
      </c>
      <c r="C84" s="49">
        <v>4000</v>
      </c>
      <c r="D84" s="49">
        <f t="shared" ref="D84:J84" si="47">C84</f>
        <v>4000</v>
      </c>
      <c r="E84" s="49">
        <f t="shared" si="47"/>
        <v>4000</v>
      </c>
      <c r="F84" s="49">
        <f t="shared" si="47"/>
        <v>4000</v>
      </c>
      <c r="G84" s="49">
        <f t="shared" si="47"/>
        <v>4000</v>
      </c>
      <c r="H84" s="49">
        <f t="shared" si="47"/>
        <v>4000</v>
      </c>
      <c r="I84" s="49">
        <f t="shared" si="47"/>
        <v>4000</v>
      </c>
      <c r="J84" s="49">
        <f t="shared" si="47"/>
        <v>4000</v>
      </c>
      <c r="K84" s="49">
        <f>J84+1200</f>
        <v>5200</v>
      </c>
      <c r="L84" s="49">
        <v>5349.9992599999996</v>
      </c>
      <c r="M84" s="25">
        <f t="shared" si="41"/>
        <v>1.3374998149999999</v>
      </c>
      <c r="N84" s="25">
        <f t="shared" si="42"/>
        <v>1.0288460115384614</v>
      </c>
      <c r="O84" s="72"/>
    </row>
    <row r="85" spans="1:15" ht="45.75" x14ac:dyDescent="0.25">
      <c r="A85" s="71" t="s">
        <v>137</v>
      </c>
      <c r="B85" s="48" t="s">
        <v>136</v>
      </c>
      <c r="C85" s="49">
        <f t="shared" ref="C85:J86" si="48">C86</f>
        <v>3500</v>
      </c>
      <c r="D85" s="49">
        <f t="shared" si="48"/>
        <v>3500</v>
      </c>
      <c r="E85" s="49">
        <f t="shared" si="48"/>
        <v>3500</v>
      </c>
      <c r="F85" s="49">
        <f t="shared" si="48"/>
        <v>3500</v>
      </c>
      <c r="G85" s="49">
        <f t="shared" si="48"/>
        <v>3500</v>
      </c>
      <c r="H85" s="49">
        <f>H86</f>
        <v>3500</v>
      </c>
      <c r="I85" s="49">
        <f>I86</f>
        <v>3500</v>
      </c>
      <c r="J85" s="49">
        <f t="shared" si="48"/>
        <v>3500</v>
      </c>
      <c r="K85" s="49">
        <f>K86+K88</f>
        <v>5200</v>
      </c>
      <c r="L85" s="49">
        <f>L86+L88</f>
        <v>5646.5848999999998</v>
      </c>
      <c r="M85" s="25">
        <f t="shared" si="41"/>
        <v>1.6133099714285715</v>
      </c>
      <c r="N85" s="25">
        <f t="shared" si="42"/>
        <v>1.0858817115384616</v>
      </c>
      <c r="O85" s="72" t="s">
        <v>227</v>
      </c>
    </row>
    <row r="86" spans="1:15" ht="42" customHeight="1" x14ac:dyDescent="0.25">
      <c r="A86" s="71" t="s">
        <v>139</v>
      </c>
      <c r="B86" s="48" t="s">
        <v>138</v>
      </c>
      <c r="C86" s="49">
        <f t="shared" si="48"/>
        <v>3500</v>
      </c>
      <c r="D86" s="49">
        <f t="shared" si="48"/>
        <v>3500</v>
      </c>
      <c r="E86" s="49">
        <f t="shared" si="48"/>
        <v>3500</v>
      </c>
      <c r="F86" s="49">
        <f t="shared" si="48"/>
        <v>3500</v>
      </c>
      <c r="G86" s="49">
        <f t="shared" si="48"/>
        <v>3500</v>
      </c>
      <c r="H86" s="49">
        <f>H87</f>
        <v>3500</v>
      </c>
      <c r="I86" s="49">
        <f>I87</f>
        <v>3500</v>
      </c>
      <c r="J86" s="49">
        <f t="shared" si="48"/>
        <v>3500</v>
      </c>
      <c r="K86" s="49">
        <f>K87</f>
        <v>5250</v>
      </c>
      <c r="L86" s="49">
        <f>L87</f>
        <v>4843.4981600000001</v>
      </c>
      <c r="M86" s="25">
        <f t="shared" si="41"/>
        <v>1.3838566171428572</v>
      </c>
      <c r="N86" s="25">
        <f t="shared" si="42"/>
        <v>0.92257107809523808</v>
      </c>
      <c r="O86" s="72"/>
    </row>
    <row r="87" spans="1:15" ht="38.25" customHeight="1" x14ac:dyDescent="0.25">
      <c r="A87" s="71" t="s">
        <v>141</v>
      </c>
      <c r="B87" s="48" t="s">
        <v>140</v>
      </c>
      <c r="C87" s="49">
        <v>3500</v>
      </c>
      <c r="D87" s="49">
        <f t="shared" ref="D87:J87" si="49">C87</f>
        <v>3500</v>
      </c>
      <c r="E87" s="49">
        <f t="shared" si="49"/>
        <v>3500</v>
      </c>
      <c r="F87" s="49">
        <f t="shared" si="49"/>
        <v>3500</v>
      </c>
      <c r="G87" s="49">
        <f t="shared" si="49"/>
        <v>3500</v>
      </c>
      <c r="H87" s="49">
        <f t="shared" si="49"/>
        <v>3500</v>
      </c>
      <c r="I87" s="49">
        <f t="shared" si="49"/>
        <v>3500</v>
      </c>
      <c r="J87" s="49">
        <f t="shared" si="49"/>
        <v>3500</v>
      </c>
      <c r="K87" s="49">
        <f>J87+1750</f>
        <v>5250</v>
      </c>
      <c r="L87" s="49">
        <v>4843.4981600000001</v>
      </c>
      <c r="M87" s="25">
        <f t="shared" si="41"/>
        <v>1.3838566171428572</v>
      </c>
      <c r="N87" s="25">
        <f t="shared" si="42"/>
        <v>0.92257107809523808</v>
      </c>
      <c r="O87" s="72"/>
    </row>
    <row r="88" spans="1:15" ht="90.75" x14ac:dyDescent="0.25">
      <c r="A88" s="71" t="s">
        <v>143</v>
      </c>
      <c r="B88" s="48" t="s">
        <v>142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f>K89</f>
        <v>-50</v>
      </c>
      <c r="L88" s="60">
        <f>L89</f>
        <v>803.08673999999996</v>
      </c>
      <c r="M88" s="25" t="e">
        <f t="shared" si="41"/>
        <v>#DIV/0!</v>
      </c>
      <c r="N88" s="25">
        <f t="shared" si="42"/>
        <v>-16.0617348</v>
      </c>
      <c r="O88" s="72"/>
    </row>
    <row r="89" spans="1:15" ht="46.5" customHeight="1" x14ac:dyDescent="0.25">
      <c r="A89" s="71" t="s">
        <v>145</v>
      </c>
      <c r="B89" s="48" t="s">
        <v>144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f>K90</f>
        <v>-50</v>
      </c>
      <c r="L89" s="60">
        <f>L90</f>
        <v>803.08673999999996</v>
      </c>
      <c r="M89" s="25" t="e">
        <f t="shared" si="41"/>
        <v>#DIV/0!</v>
      </c>
      <c r="N89" s="25">
        <f t="shared" si="42"/>
        <v>-16.0617348</v>
      </c>
      <c r="O89" s="72"/>
    </row>
    <row r="90" spans="1:15" ht="36.75" customHeight="1" thickBot="1" x14ac:dyDescent="0.3">
      <c r="A90" s="73" t="s">
        <v>147</v>
      </c>
      <c r="B90" s="52" t="s">
        <v>146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-50</v>
      </c>
      <c r="L90" s="61">
        <v>803.08673999999996</v>
      </c>
      <c r="M90" s="30" t="e">
        <f t="shared" si="41"/>
        <v>#DIV/0!</v>
      </c>
      <c r="N90" s="30">
        <f t="shared" si="42"/>
        <v>-16.0617348</v>
      </c>
      <c r="O90" s="74"/>
    </row>
    <row r="91" spans="1:15" ht="31.5" x14ac:dyDescent="0.25">
      <c r="A91" s="32" t="s">
        <v>149</v>
      </c>
      <c r="B91" s="33" t="s">
        <v>148</v>
      </c>
      <c r="C91" s="34">
        <f t="shared" ref="C91:L92" si="50">C92</f>
        <v>4000</v>
      </c>
      <c r="D91" s="34">
        <f t="shared" si="50"/>
        <v>4000</v>
      </c>
      <c r="E91" s="34">
        <f t="shared" si="50"/>
        <v>4000</v>
      </c>
      <c r="F91" s="34">
        <f t="shared" si="50"/>
        <v>4000</v>
      </c>
      <c r="G91" s="34">
        <f t="shared" si="50"/>
        <v>4000</v>
      </c>
      <c r="H91" s="34">
        <f>H92</f>
        <v>4000</v>
      </c>
      <c r="I91" s="34">
        <f>I92</f>
        <v>4000</v>
      </c>
      <c r="J91" s="34">
        <f t="shared" si="50"/>
        <v>4000</v>
      </c>
      <c r="K91" s="34">
        <f t="shared" si="50"/>
        <v>2000</v>
      </c>
      <c r="L91" s="34">
        <f t="shared" si="50"/>
        <v>2382.1001999999999</v>
      </c>
      <c r="M91" s="35">
        <f t="shared" si="41"/>
        <v>0.59552505</v>
      </c>
      <c r="N91" s="35">
        <f t="shared" si="42"/>
        <v>1.1910501</v>
      </c>
      <c r="O91" s="36" t="s">
        <v>279</v>
      </c>
    </row>
    <row r="92" spans="1:15" ht="80.25" customHeight="1" x14ac:dyDescent="0.25">
      <c r="A92" s="47" t="s">
        <v>228</v>
      </c>
      <c r="B92" s="48" t="s">
        <v>229</v>
      </c>
      <c r="C92" s="49">
        <f t="shared" si="50"/>
        <v>4000</v>
      </c>
      <c r="D92" s="49">
        <f t="shared" si="50"/>
        <v>4000</v>
      </c>
      <c r="E92" s="49">
        <f t="shared" si="50"/>
        <v>4000</v>
      </c>
      <c r="F92" s="49">
        <f t="shared" si="50"/>
        <v>4000</v>
      </c>
      <c r="G92" s="49">
        <f t="shared" si="50"/>
        <v>4000</v>
      </c>
      <c r="H92" s="49">
        <f>H93</f>
        <v>4000</v>
      </c>
      <c r="I92" s="49">
        <f>I93</f>
        <v>4000</v>
      </c>
      <c r="J92" s="49">
        <f t="shared" si="50"/>
        <v>4000</v>
      </c>
      <c r="K92" s="49">
        <f t="shared" si="50"/>
        <v>2000</v>
      </c>
      <c r="L92" s="49">
        <f t="shared" si="50"/>
        <v>2382.1001999999999</v>
      </c>
      <c r="M92" s="25">
        <f t="shared" si="41"/>
        <v>0.59552505</v>
      </c>
      <c r="N92" s="25">
        <f t="shared" si="42"/>
        <v>1.1910501</v>
      </c>
      <c r="O92" s="50"/>
    </row>
    <row r="93" spans="1:15" ht="91.5" thickBot="1" x14ac:dyDescent="0.3">
      <c r="A93" s="37" t="s">
        <v>230</v>
      </c>
      <c r="B93" s="38" t="s">
        <v>231</v>
      </c>
      <c r="C93" s="39">
        <v>4000</v>
      </c>
      <c r="D93" s="39">
        <f t="shared" ref="D93:J93" si="51">C93</f>
        <v>4000</v>
      </c>
      <c r="E93" s="39">
        <f t="shared" si="51"/>
        <v>4000</v>
      </c>
      <c r="F93" s="39">
        <f t="shared" si="51"/>
        <v>4000</v>
      </c>
      <c r="G93" s="39">
        <f t="shared" si="51"/>
        <v>4000</v>
      </c>
      <c r="H93" s="39">
        <f t="shared" si="51"/>
        <v>4000</v>
      </c>
      <c r="I93" s="39">
        <f t="shared" si="51"/>
        <v>4000</v>
      </c>
      <c r="J93" s="39">
        <f t="shared" si="51"/>
        <v>4000</v>
      </c>
      <c r="K93" s="39">
        <f>J93-2000</f>
        <v>2000</v>
      </c>
      <c r="L93" s="39">
        <v>2382.1001999999999</v>
      </c>
      <c r="M93" s="40">
        <f t="shared" si="41"/>
        <v>0.59552505</v>
      </c>
      <c r="N93" s="40">
        <f t="shared" si="42"/>
        <v>1.1910501</v>
      </c>
      <c r="O93" s="41"/>
    </row>
    <row r="94" spans="1:15" ht="171" customHeight="1" x14ac:dyDescent="0.25">
      <c r="A94" s="32" t="s">
        <v>151</v>
      </c>
      <c r="B94" s="33" t="s">
        <v>150</v>
      </c>
      <c r="C94" s="34">
        <f t="shared" ref="C94:J94" si="52">C95+C97</f>
        <v>6000</v>
      </c>
      <c r="D94" s="34">
        <f t="shared" si="52"/>
        <v>6000</v>
      </c>
      <c r="E94" s="34">
        <f t="shared" si="52"/>
        <v>6000</v>
      </c>
      <c r="F94" s="34">
        <f t="shared" si="52"/>
        <v>6000</v>
      </c>
      <c r="G94" s="34">
        <f t="shared" si="52"/>
        <v>1917.5</v>
      </c>
      <c r="H94" s="34">
        <f>H95+H97</f>
        <v>1917.5</v>
      </c>
      <c r="I94" s="34">
        <f>I95+I97</f>
        <v>1917.5</v>
      </c>
      <c r="J94" s="34">
        <f t="shared" si="52"/>
        <v>1917.5</v>
      </c>
      <c r="K94" s="34">
        <f>K97+K95</f>
        <v>550</v>
      </c>
      <c r="L94" s="34">
        <f>L95+L97</f>
        <v>659.63166999999999</v>
      </c>
      <c r="M94" s="35">
        <f t="shared" si="41"/>
        <v>0.10993861166666666</v>
      </c>
      <c r="N94" s="35">
        <f t="shared" si="42"/>
        <v>1.1993303090909091</v>
      </c>
      <c r="O94" s="36" t="s">
        <v>330</v>
      </c>
    </row>
    <row r="95" spans="1:15" ht="15.75" x14ac:dyDescent="0.25">
      <c r="A95" s="47" t="s">
        <v>153</v>
      </c>
      <c r="B95" s="48" t="s">
        <v>152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f>H96</f>
        <v>0</v>
      </c>
      <c r="I95" s="49">
        <f>I96</f>
        <v>0</v>
      </c>
      <c r="J95" s="49">
        <v>0</v>
      </c>
      <c r="K95" s="49">
        <f>K96</f>
        <v>0</v>
      </c>
      <c r="L95" s="49">
        <f>L96</f>
        <v>32.52393</v>
      </c>
      <c r="M95" s="25" t="e">
        <f t="shared" si="41"/>
        <v>#DIV/0!</v>
      </c>
      <c r="N95" s="25" t="e">
        <f t="shared" si="42"/>
        <v>#DIV/0!</v>
      </c>
      <c r="O95" s="50"/>
    </row>
    <row r="96" spans="1:15" ht="34.5" x14ac:dyDescent="0.25">
      <c r="A96" s="47" t="s">
        <v>155</v>
      </c>
      <c r="B96" s="48" t="s">
        <v>154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f>G96</f>
        <v>0</v>
      </c>
      <c r="I96" s="49">
        <v>0</v>
      </c>
      <c r="J96" s="49">
        <v>0</v>
      </c>
      <c r="K96" s="49">
        <v>0</v>
      </c>
      <c r="L96" s="49">
        <v>32.52393</v>
      </c>
      <c r="M96" s="25" t="e">
        <f t="shared" si="41"/>
        <v>#DIV/0!</v>
      </c>
      <c r="N96" s="25" t="e">
        <f t="shared" si="42"/>
        <v>#DIV/0!</v>
      </c>
      <c r="O96" s="50"/>
    </row>
    <row r="97" spans="1:15" ht="15.75" x14ac:dyDescent="0.25">
      <c r="A97" s="47" t="s">
        <v>157</v>
      </c>
      <c r="B97" s="48" t="s">
        <v>156</v>
      </c>
      <c r="C97" s="49">
        <f t="shared" ref="C97:L97" si="53">C98</f>
        <v>6000</v>
      </c>
      <c r="D97" s="49">
        <f t="shared" si="53"/>
        <v>6000</v>
      </c>
      <c r="E97" s="49">
        <f t="shared" si="53"/>
        <v>6000</v>
      </c>
      <c r="F97" s="49">
        <f t="shared" si="53"/>
        <v>6000</v>
      </c>
      <c r="G97" s="49">
        <f t="shared" si="53"/>
        <v>1917.5</v>
      </c>
      <c r="H97" s="49">
        <f>H98</f>
        <v>1917.5</v>
      </c>
      <c r="I97" s="49">
        <f>I98</f>
        <v>1917.5</v>
      </c>
      <c r="J97" s="49">
        <f t="shared" si="53"/>
        <v>1917.5</v>
      </c>
      <c r="K97" s="49">
        <f t="shared" si="53"/>
        <v>550</v>
      </c>
      <c r="L97" s="49">
        <f t="shared" si="53"/>
        <v>627.10774000000004</v>
      </c>
      <c r="M97" s="25">
        <f t="shared" si="41"/>
        <v>0.10451795666666668</v>
      </c>
      <c r="N97" s="25">
        <f t="shared" si="42"/>
        <v>1.140195890909091</v>
      </c>
      <c r="O97" s="50"/>
    </row>
    <row r="98" spans="1:15" ht="24" thickBot="1" x14ac:dyDescent="0.3">
      <c r="A98" s="37" t="s">
        <v>159</v>
      </c>
      <c r="B98" s="38" t="s">
        <v>158</v>
      </c>
      <c r="C98" s="39">
        <v>6000</v>
      </c>
      <c r="D98" s="39">
        <f>C98</f>
        <v>6000</v>
      </c>
      <c r="E98" s="39">
        <f>D98</f>
        <v>6000</v>
      </c>
      <c r="F98" s="39">
        <f>E98</f>
        <v>6000</v>
      </c>
      <c r="G98" s="39">
        <f>F98-4082.5</f>
        <v>1917.5</v>
      </c>
      <c r="H98" s="39">
        <f>G98</f>
        <v>1917.5</v>
      </c>
      <c r="I98" s="39">
        <f>H98</f>
        <v>1917.5</v>
      </c>
      <c r="J98" s="39">
        <f>I98</f>
        <v>1917.5</v>
      </c>
      <c r="K98" s="39">
        <f>J98-1367.5</f>
        <v>550</v>
      </c>
      <c r="L98" s="39">
        <v>627.10774000000004</v>
      </c>
      <c r="M98" s="40">
        <f t="shared" si="41"/>
        <v>0.10451795666666668</v>
      </c>
      <c r="N98" s="40">
        <f t="shared" si="42"/>
        <v>1.140195890909091</v>
      </c>
      <c r="O98" s="41"/>
    </row>
    <row r="99" spans="1:15" s="4" customFormat="1" ht="47.25" x14ac:dyDescent="0.25">
      <c r="A99" s="75" t="s">
        <v>161</v>
      </c>
      <c r="B99" s="76" t="s">
        <v>160</v>
      </c>
      <c r="C99" s="77">
        <f t="shared" ref="C99:K99" si="54">C100</f>
        <v>807015.33640999999</v>
      </c>
      <c r="D99" s="77">
        <f t="shared" si="54"/>
        <v>947411.90494000004</v>
      </c>
      <c r="E99" s="77">
        <f t="shared" si="54"/>
        <v>971288.25315</v>
      </c>
      <c r="F99" s="77">
        <f t="shared" si="54"/>
        <v>1030518.01511</v>
      </c>
      <c r="G99" s="77">
        <f t="shared" si="54"/>
        <v>1030366.17286</v>
      </c>
      <c r="H99" s="77">
        <f t="shared" si="54"/>
        <v>1082807.22266</v>
      </c>
      <c r="I99" s="77">
        <f t="shared" si="54"/>
        <v>1207240.2446600001</v>
      </c>
      <c r="J99" s="77">
        <f>J100</f>
        <v>1199620.81161</v>
      </c>
      <c r="K99" s="77">
        <f t="shared" si="54"/>
        <v>1251733.9404599997</v>
      </c>
      <c r="L99" s="77">
        <f>L100+L154</f>
        <v>1247365.9221699999</v>
      </c>
      <c r="M99" s="45">
        <f t="shared" si="41"/>
        <v>1.5456533053248966</v>
      </c>
      <c r="N99" s="45">
        <f t="shared" si="42"/>
        <v>0.99651042593892225</v>
      </c>
      <c r="O99" s="70" t="s">
        <v>283</v>
      </c>
    </row>
    <row r="100" spans="1:15" ht="36.75" customHeight="1" thickBot="1" x14ac:dyDescent="0.3">
      <c r="A100" s="73" t="s">
        <v>163</v>
      </c>
      <c r="B100" s="52" t="s">
        <v>162</v>
      </c>
      <c r="C100" s="53">
        <f>C101+C106+C125+C146+C150</f>
        <v>807015.33640999999</v>
      </c>
      <c r="D100" s="53">
        <f>D101+D106+D125+D146+D150</f>
        <v>947411.90494000004</v>
      </c>
      <c r="E100" s="53">
        <f>E101+E106+E125+E146+E150</f>
        <v>971288.25315</v>
      </c>
      <c r="F100" s="53">
        <f>F101+F106+F125+F146+F150</f>
        <v>1030518.01511</v>
      </c>
      <c r="G100" s="53">
        <f>G101+G106+G125+G146+G150</f>
        <v>1030366.17286</v>
      </c>
      <c r="H100" s="53">
        <f>H101+H106+H125+H146+H150+H152</f>
        <v>1082807.22266</v>
      </c>
      <c r="I100" s="53">
        <f>I101+I106+I125+I146+I150+I152</f>
        <v>1207240.2446600001</v>
      </c>
      <c r="J100" s="53">
        <f>J101+J106+J125+J146+J150+J152</f>
        <v>1199620.81161</v>
      </c>
      <c r="K100" s="53">
        <f>K101+K106+K125+K146+K150+K152+K148</f>
        <v>1251733.9404599997</v>
      </c>
      <c r="L100" s="53">
        <f>L101+L106+L125+L146+L152+L148</f>
        <v>1248224.62319</v>
      </c>
      <c r="M100" s="30">
        <f t="shared" si="41"/>
        <v>1.5467173508036605</v>
      </c>
      <c r="N100" s="30">
        <f t="shared" si="42"/>
        <v>0.99719643515561296</v>
      </c>
      <c r="O100" s="74"/>
    </row>
    <row r="101" spans="1:15" ht="23.25" x14ac:dyDescent="0.25">
      <c r="A101" s="32" t="s">
        <v>165</v>
      </c>
      <c r="B101" s="33" t="s">
        <v>164</v>
      </c>
      <c r="C101" s="34">
        <f>C102</f>
        <v>0</v>
      </c>
      <c r="D101" s="34">
        <f>D102</f>
        <v>0</v>
      </c>
      <c r="E101" s="34">
        <f t="shared" ref="E101:L101" si="55">E102+E104</f>
        <v>0</v>
      </c>
      <c r="F101" s="34">
        <f t="shared" si="55"/>
        <v>58635.3</v>
      </c>
      <c r="G101" s="34">
        <f t="shared" si="55"/>
        <v>58635.3</v>
      </c>
      <c r="H101" s="34">
        <f>H102+H104</f>
        <v>78635.3</v>
      </c>
      <c r="I101" s="34">
        <f>I102+I104</f>
        <v>63021.200000000004</v>
      </c>
      <c r="J101" s="34">
        <f t="shared" si="55"/>
        <v>63021.200000000004</v>
      </c>
      <c r="K101" s="34">
        <f t="shared" si="55"/>
        <v>119661.0196</v>
      </c>
      <c r="L101" s="34">
        <f t="shared" si="55"/>
        <v>119661.0196</v>
      </c>
      <c r="M101" s="35" t="e">
        <f t="shared" si="41"/>
        <v>#DIV/0!</v>
      </c>
      <c r="N101" s="35">
        <f t="shared" si="42"/>
        <v>1</v>
      </c>
      <c r="O101" s="36"/>
    </row>
    <row r="102" spans="1:15" ht="34.5" x14ac:dyDescent="0.25">
      <c r="A102" s="47" t="s">
        <v>167</v>
      </c>
      <c r="B102" s="48" t="s">
        <v>166</v>
      </c>
      <c r="C102" s="60">
        <f>C103</f>
        <v>0</v>
      </c>
      <c r="D102" s="60">
        <f>D103</f>
        <v>0</v>
      </c>
      <c r="E102" s="60">
        <f t="shared" ref="E102:L102" si="56">E103</f>
        <v>0</v>
      </c>
      <c r="F102" s="60">
        <f t="shared" si="56"/>
        <v>58635.3</v>
      </c>
      <c r="G102" s="60">
        <f t="shared" si="56"/>
        <v>58635.3</v>
      </c>
      <c r="H102" s="60">
        <f>H103</f>
        <v>58635.3</v>
      </c>
      <c r="I102" s="60">
        <f>I103</f>
        <v>63021.200000000004</v>
      </c>
      <c r="J102" s="60">
        <f t="shared" si="56"/>
        <v>63021.200000000004</v>
      </c>
      <c r="K102" s="60">
        <f t="shared" si="56"/>
        <v>112304.9</v>
      </c>
      <c r="L102" s="60">
        <f t="shared" si="56"/>
        <v>112304.9</v>
      </c>
      <c r="M102" s="25" t="e">
        <f t="shared" si="41"/>
        <v>#DIV/0!</v>
      </c>
      <c r="N102" s="25">
        <f t="shared" si="42"/>
        <v>1</v>
      </c>
      <c r="O102" s="50"/>
    </row>
    <row r="103" spans="1:15" ht="45.75" x14ac:dyDescent="0.25">
      <c r="A103" s="47" t="s">
        <v>169</v>
      </c>
      <c r="B103" s="48" t="s">
        <v>168</v>
      </c>
      <c r="C103" s="60">
        <v>0</v>
      </c>
      <c r="D103" s="60">
        <v>0</v>
      </c>
      <c r="E103" s="60">
        <v>0</v>
      </c>
      <c r="F103" s="60">
        <v>58635.3</v>
      </c>
      <c r="G103" s="60">
        <f>F103</f>
        <v>58635.3</v>
      </c>
      <c r="H103" s="60">
        <f>G103</f>
        <v>58635.3</v>
      </c>
      <c r="I103" s="60">
        <f>H103+4385.9</f>
        <v>63021.200000000004</v>
      </c>
      <c r="J103" s="60">
        <f>I103</f>
        <v>63021.200000000004</v>
      </c>
      <c r="K103" s="60">
        <f>J103+49283.7</f>
        <v>112304.9</v>
      </c>
      <c r="L103" s="60">
        <v>112304.9</v>
      </c>
      <c r="M103" s="25" t="e">
        <f t="shared" si="41"/>
        <v>#DIV/0!</v>
      </c>
      <c r="N103" s="25">
        <f t="shared" si="42"/>
        <v>1</v>
      </c>
      <c r="O103" s="50"/>
    </row>
    <row r="104" spans="1:15" ht="15.75" x14ac:dyDescent="0.25">
      <c r="A104" s="47" t="s">
        <v>240</v>
      </c>
      <c r="B104" s="48" t="s">
        <v>241</v>
      </c>
      <c r="C104" s="60">
        <v>0</v>
      </c>
      <c r="D104" s="60">
        <v>0</v>
      </c>
      <c r="E104" s="60">
        <f t="shared" ref="E104:L104" si="57">E105</f>
        <v>0</v>
      </c>
      <c r="F104" s="60">
        <f t="shared" si="57"/>
        <v>0</v>
      </c>
      <c r="G104" s="60">
        <f t="shared" si="57"/>
        <v>0</v>
      </c>
      <c r="H104" s="60">
        <f>H105</f>
        <v>20000</v>
      </c>
      <c r="I104" s="60">
        <f>I105</f>
        <v>0</v>
      </c>
      <c r="J104" s="60">
        <f t="shared" si="57"/>
        <v>0</v>
      </c>
      <c r="K104" s="60">
        <f t="shared" si="57"/>
        <v>7356.1196</v>
      </c>
      <c r="L104" s="60">
        <f t="shared" si="57"/>
        <v>7356.1196</v>
      </c>
      <c r="M104" s="25" t="e">
        <f t="shared" si="41"/>
        <v>#DIV/0!</v>
      </c>
      <c r="N104" s="25">
        <f t="shared" si="42"/>
        <v>1</v>
      </c>
      <c r="O104" s="50"/>
    </row>
    <row r="105" spans="1:15" ht="24" thickBot="1" x14ac:dyDescent="0.3">
      <c r="A105" s="37" t="s">
        <v>242</v>
      </c>
      <c r="B105" s="38" t="s">
        <v>243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20000</v>
      </c>
      <c r="I105" s="63">
        <f>H105-20000</f>
        <v>0</v>
      </c>
      <c r="J105" s="63">
        <f>I105</f>
        <v>0</v>
      </c>
      <c r="K105" s="63">
        <v>7356.1196</v>
      </c>
      <c r="L105" s="63">
        <v>7356.1196</v>
      </c>
      <c r="M105" s="40" t="e">
        <f t="shared" si="41"/>
        <v>#DIV/0!</v>
      </c>
      <c r="N105" s="40">
        <f t="shared" si="42"/>
        <v>1</v>
      </c>
      <c r="O105" s="41"/>
    </row>
    <row r="106" spans="1:15" ht="63" x14ac:dyDescent="0.25">
      <c r="A106" s="78" t="s">
        <v>171</v>
      </c>
      <c r="B106" s="79" t="s">
        <v>170</v>
      </c>
      <c r="C106" s="80">
        <f>C109+C111+C115+C121+C123+C107+C113</f>
        <v>144662.73874999999</v>
      </c>
      <c r="D106" s="80">
        <f>D109+D111+D115+D121+D123+D107+D113</f>
        <v>283055.96970000002</v>
      </c>
      <c r="E106" s="80">
        <f>E109+E111+E115+E121+E123+E107+E113</f>
        <v>306932.31790999998</v>
      </c>
      <c r="F106" s="80">
        <f>F109+F111+F115+F121+F123+F107+F113</f>
        <v>306932.31790999998</v>
      </c>
      <c r="G106" s="80">
        <f>G109+G111+G115+G121+G123+G107+G113+G119</f>
        <v>306780.47566</v>
      </c>
      <c r="H106" s="80">
        <f>H109+H111+H115+H121+H123+H107+H113+H119+H117</f>
        <v>313245.77026000002</v>
      </c>
      <c r="I106" s="80">
        <f>I109+I111+I115+I121+I123+I107+I113+I119+I117+I148</f>
        <v>434767.67026000004</v>
      </c>
      <c r="J106" s="80">
        <f>J109+J111+J115+J121+J123+J107+J113+J119+J148</f>
        <v>427546.32325000002</v>
      </c>
      <c r="K106" s="80">
        <f>K107+K109+K111+K113+K115+K119+K121+K123</f>
        <v>296418.81439999997</v>
      </c>
      <c r="L106" s="80">
        <f>L107+L109+L111+L115+L121+L123+L113+L119</f>
        <v>294838.97862000001</v>
      </c>
      <c r="M106" s="35">
        <f t="shared" si="41"/>
        <v>2.0381127937134402</v>
      </c>
      <c r="N106" s="35">
        <f t="shared" si="42"/>
        <v>0.99467025808332099</v>
      </c>
      <c r="O106" s="36" t="s">
        <v>282</v>
      </c>
    </row>
    <row r="107" spans="1:15" ht="147" x14ac:dyDescent="0.25">
      <c r="A107" s="47" t="s">
        <v>244</v>
      </c>
      <c r="B107" s="48" t="s">
        <v>245</v>
      </c>
      <c r="C107" s="49">
        <f t="shared" ref="C107:J107" si="58">C108</f>
        <v>0</v>
      </c>
      <c r="D107" s="49">
        <f t="shared" si="58"/>
        <v>2072.41959</v>
      </c>
      <c r="E107" s="49">
        <f t="shared" si="58"/>
        <v>2072.41959</v>
      </c>
      <c r="F107" s="49">
        <f t="shared" si="58"/>
        <v>2072.41959</v>
      </c>
      <c r="G107" s="49">
        <f t="shared" si="58"/>
        <v>2072.41959</v>
      </c>
      <c r="H107" s="49">
        <f t="shared" si="58"/>
        <v>2072.41959</v>
      </c>
      <c r="I107" s="49">
        <f t="shared" si="58"/>
        <v>2072.41959</v>
      </c>
      <c r="J107" s="49">
        <f t="shared" si="58"/>
        <v>2072.41959</v>
      </c>
      <c r="K107" s="49">
        <f>K108</f>
        <v>2072.41959</v>
      </c>
      <c r="L107" s="49">
        <f>L108</f>
        <v>2072.41959</v>
      </c>
      <c r="M107" s="25" t="e">
        <f t="shared" si="41"/>
        <v>#DIV/0!</v>
      </c>
      <c r="N107" s="25">
        <f t="shared" si="42"/>
        <v>1</v>
      </c>
      <c r="O107" s="50"/>
    </row>
    <row r="108" spans="1:15" ht="147" x14ac:dyDescent="0.25">
      <c r="A108" s="47" t="s">
        <v>246</v>
      </c>
      <c r="B108" s="48" t="s">
        <v>247</v>
      </c>
      <c r="C108" s="49"/>
      <c r="D108" s="49">
        <v>2072.41959</v>
      </c>
      <c r="E108" s="49">
        <f t="shared" ref="E108:K108" si="59">D108</f>
        <v>2072.41959</v>
      </c>
      <c r="F108" s="49">
        <f t="shared" si="59"/>
        <v>2072.41959</v>
      </c>
      <c r="G108" s="49">
        <f t="shared" si="59"/>
        <v>2072.41959</v>
      </c>
      <c r="H108" s="49">
        <f t="shared" si="59"/>
        <v>2072.41959</v>
      </c>
      <c r="I108" s="49">
        <f t="shared" si="59"/>
        <v>2072.41959</v>
      </c>
      <c r="J108" s="49">
        <f t="shared" si="59"/>
        <v>2072.41959</v>
      </c>
      <c r="K108" s="49">
        <f t="shared" si="59"/>
        <v>2072.41959</v>
      </c>
      <c r="L108" s="49">
        <v>2072.41959</v>
      </c>
      <c r="M108" s="25" t="e">
        <f t="shared" si="41"/>
        <v>#DIV/0!</v>
      </c>
      <c r="N108" s="25">
        <f t="shared" si="42"/>
        <v>1</v>
      </c>
      <c r="O108" s="50"/>
    </row>
    <row r="109" spans="1:15" ht="113.25" x14ac:dyDescent="0.25">
      <c r="A109" s="47" t="s">
        <v>232</v>
      </c>
      <c r="B109" s="48" t="s">
        <v>233</v>
      </c>
      <c r="C109" s="49">
        <f t="shared" ref="C109:J109" si="60">C110</f>
        <v>0</v>
      </c>
      <c r="D109" s="49">
        <f t="shared" si="60"/>
        <v>362.26150999999999</v>
      </c>
      <c r="E109" s="49">
        <f t="shared" si="60"/>
        <v>362.26150999999999</v>
      </c>
      <c r="F109" s="49">
        <f t="shared" si="60"/>
        <v>362.26150999999999</v>
      </c>
      <c r="G109" s="49">
        <f t="shared" si="60"/>
        <v>362.26150999999999</v>
      </c>
      <c r="H109" s="49">
        <f t="shared" si="60"/>
        <v>362.26150999999999</v>
      </c>
      <c r="I109" s="49">
        <f t="shared" si="60"/>
        <v>362.26150999999999</v>
      </c>
      <c r="J109" s="49">
        <f t="shared" si="60"/>
        <v>362.26150999999999</v>
      </c>
      <c r="K109" s="49">
        <f>K110</f>
        <v>356.65246999999999</v>
      </c>
      <c r="L109" s="49">
        <f>L110</f>
        <v>356.65246999999999</v>
      </c>
      <c r="M109" s="25" t="e">
        <f t="shared" si="41"/>
        <v>#DIV/0!</v>
      </c>
      <c r="N109" s="25">
        <f t="shared" si="42"/>
        <v>1</v>
      </c>
      <c r="O109" s="50"/>
    </row>
    <row r="110" spans="1:15" ht="113.25" x14ac:dyDescent="0.25">
      <c r="A110" s="47" t="s">
        <v>234</v>
      </c>
      <c r="B110" s="48" t="s">
        <v>235</v>
      </c>
      <c r="C110" s="49">
        <v>0</v>
      </c>
      <c r="D110" s="49">
        <v>362.26150999999999</v>
      </c>
      <c r="E110" s="49">
        <f t="shared" ref="E110:J110" si="61">D110</f>
        <v>362.26150999999999</v>
      </c>
      <c r="F110" s="49">
        <f t="shared" si="61"/>
        <v>362.26150999999999</v>
      </c>
      <c r="G110" s="49">
        <f t="shared" si="61"/>
        <v>362.26150999999999</v>
      </c>
      <c r="H110" s="49">
        <f t="shared" si="61"/>
        <v>362.26150999999999</v>
      </c>
      <c r="I110" s="49">
        <f t="shared" si="61"/>
        <v>362.26150999999999</v>
      </c>
      <c r="J110" s="49">
        <f t="shared" si="61"/>
        <v>362.26150999999999</v>
      </c>
      <c r="K110" s="49">
        <f>J110-5.60904</f>
        <v>356.65246999999999</v>
      </c>
      <c r="L110" s="49">
        <v>356.65246999999999</v>
      </c>
      <c r="M110" s="25" t="e">
        <f t="shared" si="41"/>
        <v>#DIV/0!</v>
      </c>
      <c r="N110" s="25">
        <f t="shared" si="42"/>
        <v>1</v>
      </c>
      <c r="O110" s="50"/>
    </row>
    <row r="111" spans="1:15" ht="33.75" x14ac:dyDescent="0.25">
      <c r="A111" s="81" t="s">
        <v>219</v>
      </c>
      <c r="B111" s="82" t="s">
        <v>221</v>
      </c>
      <c r="C111" s="83">
        <f t="shared" ref="C111:L111" si="62">C112</f>
        <v>0</v>
      </c>
      <c r="D111" s="83">
        <f t="shared" si="62"/>
        <v>0</v>
      </c>
      <c r="E111" s="83">
        <f t="shared" si="62"/>
        <v>0</v>
      </c>
      <c r="F111" s="83">
        <f t="shared" si="62"/>
        <v>0</v>
      </c>
      <c r="G111" s="83">
        <f t="shared" si="62"/>
        <v>0</v>
      </c>
      <c r="H111" s="83">
        <f t="shared" si="62"/>
        <v>0</v>
      </c>
      <c r="I111" s="83"/>
      <c r="J111" s="83">
        <f t="shared" si="62"/>
        <v>0</v>
      </c>
      <c r="K111" s="83">
        <f t="shared" si="62"/>
        <v>0</v>
      </c>
      <c r="L111" s="83">
        <f t="shared" si="62"/>
        <v>0</v>
      </c>
      <c r="M111" s="25"/>
      <c r="N111" s="25"/>
      <c r="O111" s="50"/>
    </row>
    <row r="112" spans="1:15" ht="45" x14ac:dyDescent="0.25">
      <c r="A112" s="81" t="s">
        <v>218</v>
      </c>
      <c r="B112" s="82" t="s">
        <v>220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25"/>
      <c r="N112" s="25"/>
      <c r="O112" s="50"/>
    </row>
    <row r="113" spans="1:15" ht="47.25" customHeight="1" x14ac:dyDescent="0.25">
      <c r="A113" s="81" t="s">
        <v>259</v>
      </c>
      <c r="B113" s="82" t="s">
        <v>258</v>
      </c>
      <c r="C113" s="83">
        <f t="shared" ref="C113:J113" si="63">C114</f>
        <v>0</v>
      </c>
      <c r="D113" s="83">
        <f t="shared" si="63"/>
        <v>0</v>
      </c>
      <c r="E113" s="83">
        <f t="shared" si="63"/>
        <v>0</v>
      </c>
      <c r="F113" s="83">
        <f t="shared" si="63"/>
        <v>0</v>
      </c>
      <c r="G113" s="83">
        <f t="shared" si="63"/>
        <v>0</v>
      </c>
      <c r="H113" s="83">
        <f t="shared" si="63"/>
        <v>0</v>
      </c>
      <c r="I113" s="83">
        <v>0</v>
      </c>
      <c r="J113" s="83">
        <f t="shared" si="63"/>
        <v>0</v>
      </c>
      <c r="K113" s="83">
        <v>0</v>
      </c>
      <c r="L113" s="83">
        <f>L114</f>
        <v>0</v>
      </c>
      <c r="M113" s="25"/>
      <c r="N113" s="25"/>
      <c r="O113" s="50"/>
    </row>
    <row r="114" spans="1:15" ht="39.75" customHeight="1" x14ac:dyDescent="0.25">
      <c r="A114" s="81" t="s">
        <v>257</v>
      </c>
      <c r="B114" s="82" t="s">
        <v>260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25"/>
      <c r="N114" s="25"/>
      <c r="O114" s="50"/>
    </row>
    <row r="115" spans="1:15" ht="34.5" x14ac:dyDescent="0.25">
      <c r="A115" s="47" t="s">
        <v>173</v>
      </c>
      <c r="B115" s="48" t="s">
        <v>172</v>
      </c>
      <c r="C115" s="49">
        <f t="shared" ref="C115:L115" si="64">C116</f>
        <v>2131.1722100000002</v>
      </c>
      <c r="D115" s="49">
        <f t="shared" si="64"/>
        <v>2810.2750000000001</v>
      </c>
      <c r="E115" s="49">
        <f t="shared" si="64"/>
        <v>2810.2750000000001</v>
      </c>
      <c r="F115" s="49">
        <f t="shared" si="64"/>
        <v>2810.2750000000001</v>
      </c>
      <c r="G115" s="49">
        <f t="shared" si="64"/>
        <v>2810.2750000000001</v>
      </c>
      <c r="H115" s="49">
        <f t="shared" si="64"/>
        <v>2810.2750000000001</v>
      </c>
      <c r="I115" s="49">
        <f t="shared" si="64"/>
        <v>2810.2750000000001</v>
      </c>
      <c r="J115" s="49">
        <f t="shared" si="64"/>
        <v>2810.2750000000001</v>
      </c>
      <c r="K115" s="49">
        <f t="shared" si="64"/>
        <v>2810.2750000000001</v>
      </c>
      <c r="L115" s="49">
        <f t="shared" si="64"/>
        <v>2810.2750000000001</v>
      </c>
      <c r="M115" s="25">
        <f t="shared" ref="M115:M147" si="65">L115/C115</f>
        <v>1.3186522359917596</v>
      </c>
      <c r="N115" s="25">
        <f t="shared" ref="N115:N147" si="66">L115/K115</f>
        <v>1</v>
      </c>
      <c r="O115" s="50"/>
    </row>
    <row r="116" spans="1:15" ht="45.75" x14ac:dyDescent="0.25">
      <c r="A116" s="47" t="s">
        <v>175</v>
      </c>
      <c r="B116" s="48" t="s">
        <v>174</v>
      </c>
      <c r="C116" s="49">
        <v>2131.1722100000002</v>
      </c>
      <c r="D116" s="49">
        <f>C116+679.10279</f>
        <v>2810.2750000000001</v>
      </c>
      <c r="E116" s="49">
        <f t="shared" ref="E116:K116" si="67">D116</f>
        <v>2810.2750000000001</v>
      </c>
      <c r="F116" s="49">
        <f t="shared" si="67"/>
        <v>2810.2750000000001</v>
      </c>
      <c r="G116" s="49">
        <f t="shared" si="67"/>
        <v>2810.2750000000001</v>
      </c>
      <c r="H116" s="49">
        <f t="shared" si="67"/>
        <v>2810.2750000000001</v>
      </c>
      <c r="I116" s="49">
        <f t="shared" si="67"/>
        <v>2810.2750000000001</v>
      </c>
      <c r="J116" s="49">
        <f t="shared" si="67"/>
        <v>2810.2750000000001</v>
      </c>
      <c r="K116" s="49">
        <f t="shared" si="67"/>
        <v>2810.2750000000001</v>
      </c>
      <c r="L116" s="49">
        <v>2810.2750000000001</v>
      </c>
      <c r="M116" s="25">
        <f t="shared" si="65"/>
        <v>1.3186522359917596</v>
      </c>
      <c r="N116" s="25">
        <f t="shared" si="66"/>
        <v>1</v>
      </c>
      <c r="O116" s="50"/>
    </row>
    <row r="117" spans="1:15" ht="34.5" x14ac:dyDescent="0.25">
      <c r="A117" s="47" t="s">
        <v>294</v>
      </c>
      <c r="B117" s="48" t="s">
        <v>296</v>
      </c>
      <c r="C117" s="49"/>
      <c r="D117" s="49"/>
      <c r="E117" s="49"/>
      <c r="F117" s="49"/>
      <c r="G117" s="49"/>
      <c r="H117" s="49">
        <f>H118</f>
        <v>7577.4459999999999</v>
      </c>
      <c r="I117" s="49">
        <f>I118</f>
        <v>0</v>
      </c>
      <c r="J117" s="49">
        <v>0</v>
      </c>
      <c r="K117" s="49">
        <v>0</v>
      </c>
      <c r="L117" s="49">
        <f>L118</f>
        <v>0</v>
      </c>
      <c r="M117" s="25"/>
      <c r="N117" s="25"/>
      <c r="O117" s="50"/>
    </row>
    <row r="118" spans="1:15" ht="63.75" customHeight="1" x14ac:dyDescent="0.25">
      <c r="A118" s="47" t="s">
        <v>295</v>
      </c>
      <c r="B118" s="48" t="s">
        <v>297</v>
      </c>
      <c r="C118" s="49"/>
      <c r="D118" s="49"/>
      <c r="E118" s="49"/>
      <c r="F118" s="49"/>
      <c r="G118" s="49"/>
      <c r="H118" s="49">
        <v>7577.4459999999999</v>
      </c>
      <c r="I118" s="49">
        <f>H118-7577.446</f>
        <v>0</v>
      </c>
      <c r="J118" s="49">
        <v>0</v>
      </c>
      <c r="K118" s="49">
        <v>0</v>
      </c>
      <c r="L118" s="49"/>
      <c r="M118" s="25"/>
      <c r="N118" s="25"/>
      <c r="O118" s="50"/>
    </row>
    <row r="119" spans="1:15" ht="23.25" x14ac:dyDescent="0.25">
      <c r="A119" s="47" t="s">
        <v>177</v>
      </c>
      <c r="B119" s="48" t="s">
        <v>176</v>
      </c>
      <c r="C119" s="49">
        <v>0</v>
      </c>
      <c r="D119" s="49">
        <v>0</v>
      </c>
      <c r="E119" s="49">
        <v>0</v>
      </c>
      <c r="F119" s="49">
        <v>0</v>
      </c>
      <c r="G119" s="49">
        <f>G120</f>
        <v>0</v>
      </c>
      <c r="H119" s="49">
        <f>G119</f>
        <v>0</v>
      </c>
      <c r="I119" s="49">
        <f>H119</f>
        <v>0</v>
      </c>
      <c r="J119" s="49">
        <f>J120</f>
        <v>0</v>
      </c>
      <c r="K119" s="49">
        <f>K120</f>
        <v>0</v>
      </c>
      <c r="L119" s="49">
        <f>L120</f>
        <v>0</v>
      </c>
      <c r="M119" s="25"/>
      <c r="N119" s="25"/>
      <c r="O119" s="50"/>
    </row>
    <row r="120" spans="1:15" ht="34.5" x14ac:dyDescent="0.25">
      <c r="A120" s="47" t="s">
        <v>179</v>
      </c>
      <c r="B120" s="48" t="s">
        <v>178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f>G120</f>
        <v>0</v>
      </c>
      <c r="I120" s="49">
        <v>0</v>
      </c>
      <c r="J120" s="49">
        <v>0</v>
      </c>
      <c r="K120" s="49">
        <v>0</v>
      </c>
      <c r="L120" s="49"/>
      <c r="M120" s="25"/>
      <c r="N120" s="25"/>
      <c r="O120" s="50"/>
    </row>
    <row r="121" spans="1:15" ht="34.5" x14ac:dyDescent="0.25">
      <c r="A121" s="47" t="s">
        <v>181</v>
      </c>
      <c r="B121" s="48" t="s">
        <v>180</v>
      </c>
      <c r="C121" s="60">
        <f t="shared" ref="C121:L121" si="68">C122</f>
        <v>32423.195</v>
      </c>
      <c r="D121" s="60">
        <f t="shared" si="68"/>
        <v>32423.195</v>
      </c>
      <c r="E121" s="60">
        <f t="shared" si="68"/>
        <v>32423.195</v>
      </c>
      <c r="F121" s="60">
        <f t="shared" si="68"/>
        <v>32423.195</v>
      </c>
      <c r="G121" s="60">
        <f t="shared" si="68"/>
        <v>32423.195</v>
      </c>
      <c r="H121" s="60">
        <f t="shared" si="68"/>
        <v>32423.195</v>
      </c>
      <c r="I121" s="60">
        <f t="shared" si="68"/>
        <v>32423.195</v>
      </c>
      <c r="J121" s="60">
        <f t="shared" si="68"/>
        <v>32423.195</v>
      </c>
      <c r="K121" s="60">
        <f t="shared" si="68"/>
        <v>32423.195</v>
      </c>
      <c r="L121" s="60">
        <f t="shared" si="68"/>
        <v>32423.195</v>
      </c>
      <c r="M121" s="25">
        <f t="shared" si="65"/>
        <v>1</v>
      </c>
      <c r="N121" s="25">
        <f t="shared" si="66"/>
        <v>1</v>
      </c>
      <c r="O121" s="50"/>
    </row>
    <row r="122" spans="1:15" ht="45.75" x14ac:dyDescent="0.25">
      <c r="A122" s="47" t="s">
        <v>183</v>
      </c>
      <c r="B122" s="48" t="s">
        <v>182</v>
      </c>
      <c r="C122" s="60">
        <v>32423.195</v>
      </c>
      <c r="D122" s="60">
        <f t="shared" ref="D122:K122" si="69">C122</f>
        <v>32423.195</v>
      </c>
      <c r="E122" s="60">
        <f t="shared" si="69"/>
        <v>32423.195</v>
      </c>
      <c r="F122" s="60">
        <f t="shared" si="69"/>
        <v>32423.195</v>
      </c>
      <c r="G122" s="60">
        <f t="shared" si="69"/>
        <v>32423.195</v>
      </c>
      <c r="H122" s="60">
        <f t="shared" si="69"/>
        <v>32423.195</v>
      </c>
      <c r="I122" s="60">
        <f t="shared" si="69"/>
        <v>32423.195</v>
      </c>
      <c r="J122" s="60">
        <f t="shared" si="69"/>
        <v>32423.195</v>
      </c>
      <c r="K122" s="60">
        <f t="shared" si="69"/>
        <v>32423.195</v>
      </c>
      <c r="L122" s="60">
        <v>32423.195</v>
      </c>
      <c r="M122" s="25">
        <f t="shared" si="65"/>
        <v>1</v>
      </c>
      <c r="N122" s="25">
        <f t="shared" si="66"/>
        <v>1</v>
      </c>
      <c r="O122" s="50"/>
    </row>
    <row r="123" spans="1:15" ht="15.75" x14ac:dyDescent="0.25">
      <c r="A123" s="47" t="s">
        <v>185</v>
      </c>
      <c r="B123" s="48" t="s">
        <v>184</v>
      </c>
      <c r="C123" s="49">
        <f t="shared" ref="C123:L123" si="70">C124</f>
        <v>110108.37153999999</v>
      </c>
      <c r="D123" s="49">
        <f t="shared" si="70"/>
        <v>245387.8186</v>
      </c>
      <c r="E123" s="49">
        <f t="shared" si="70"/>
        <v>269264.16680999997</v>
      </c>
      <c r="F123" s="49">
        <f t="shared" si="70"/>
        <v>269264.16680999997</v>
      </c>
      <c r="G123" s="49">
        <f t="shared" si="70"/>
        <v>269112.32455999998</v>
      </c>
      <c r="H123" s="49">
        <f t="shared" si="70"/>
        <v>268000.17316000001</v>
      </c>
      <c r="I123" s="49">
        <f>I124</f>
        <v>268377.61916</v>
      </c>
      <c r="J123" s="49">
        <f t="shared" si="70"/>
        <v>261156.27215</v>
      </c>
      <c r="K123" s="49">
        <f t="shared" si="70"/>
        <v>258756.27234</v>
      </c>
      <c r="L123" s="49">
        <f t="shared" si="70"/>
        <v>257176.43656</v>
      </c>
      <c r="M123" s="25">
        <f t="shared" si="65"/>
        <v>2.3356665162064751</v>
      </c>
      <c r="N123" s="25">
        <f t="shared" si="66"/>
        <v>0.99389450247635303</v>
      </c>
      <c r="O123" s="50"/>
    </row>
    <row r="124" spans="1:15" ht="24" thickBot="1" x14ac:dyDescent="0.3">
      <c r="A124" s="37" t="s">
        <v>187</v>
      </c>
      <c r="B124" s="38" t="s">
        <v>186</v>
      </c>
      <c r="C124" s="39">
        <f>16882.07682+4665.0986+10868.71193+1906.244+50000+15000+9576.5717+630.49999+275.484+303.6845</f>
        <v>110108.37153999999</v>
      </c>
      <c r="D124" s="39">
        <f>C124+921.748+163.67906+125194.02+9000</f>
        <v>245387.8186</v>
      </c>
      <c r="E124" s="39">
        <f>D124+16676.34821+7200</f>
        <v>269264.16680999997</v>
      </c>
      <c r="F124" s="39">
        <f>E124</f>
        <v>269264.16680999997</v>
      </c>
      <c r="G124" s="39">
        <f>F124-151.84225</f>
        <v>269112.32455999998</v>
      </c>
      <c r="H124" s="39">
        <f>G124-1112.1514</f>
        <v>268000.17316000001</v>
      </c>
      <c r="I124" s="39">
        <f>H124-7200+7577.446</f>
        <v>268377.61916</v>
      </c>
      <c r="J124" s="39">
        <f>I124-7221.34701</f>
        <v>261156.27215</v>
      </c>
      <c r="K124" s="39">
        <f>J124-2399.99981</f>
        <v>258756.27234</v>
      </c>
      <c r="L124" s="39">
        <v>257176.43656</v>
      </c>
      <c r="M124" s="40">
        <f t="shared" si="65"/>
        <v>2.3356665162064751</v>
      </c>
      <c r="N124" s="40">
        <f t="shared" si="66"/>
        <v>0.99389450247635303</v>
      </c>
      <c r="O124" s="41"/>
    </row>
    <row r="125" spans="1:15" ht="50.25" customHeight="1" x14ac:dyDescent="0.25">
      <c r="A125" s="78" t="s">
        <v>189</v>
      </c>
      <c r="B125" s="79" t="s">
        <v>188</v>
      </c>
      <c r="C125" s="80">
        <f>C126+C128+C130+C132+C134+C140+C136+C138+C142+C144</f>
        <v>634623.59765999997</v>
      </c>
      <c r="D125" s="80">
        <f>D126+D128+D130+D132+D134+D140+D136+D138+D142+D144</f>
        <v>636626.93524000002</v>
      </c>
      <c r="E125" s="80">
        <f t="shared" ref="E125:L125" si="71">E126+E128+E130+E132+E134+E140+E136+E138+E142+E144</f>
        <v>636626.93524000002</v>
      </c>
      <c r="F125" s="80">
        <f t="shared" si="71"/>
        <v>637221.39720000001</v>
      </c>
      <c r="G125" s="80">
        <f t="shared" si="71"/>
        <v>637221.39720000001</v>
      </c>
      <c r="H125" s="80">
        <f t="shared" si="71"/>
        <v>657147.15240000002</v>
      </c>
      <c r="I125" s="80">
        <f t="shared" si="71"/>
        <v>675672.37439999997</v>
      </c>
      <c r="J125" s="80">
        <f t="shared" si="71"/>
        <v>675274.28836000001</v>
      </c>
      <c r="K125" s="80">
        <f t="shared" si="71"/>
        <v>675088.70146000001</v>
      </c>
      <c r="L125" s="80">
        <f t="shared" si="71"/>
        <v>673533.39787999995</v>
      </c>
      <c r="M125" s="35">
        <f t="shared" si="65"/>
        <v>1.0613116189871747</v>
      </c>
      <c r="N125" s="35">
        <f t="shared" si="66"/>
        <v>0.99769614929617922</v>
      </c>
      <c r="O125" s="36" t="s">
        <v>284</v>
      </c>
    </row>
    <row r="126" spans="1:15" ht="45.75" x14ac:dyDescent="0.25">
      <c r="A126" s="47" t="s">
        <v>191</v>
      </c>
      <c r="B126" s="48" t="s">
        <v>190</v>
      </c>
      <c r="C126" s="49">
        <f t="shared" ref="C126:L126" si="72">C127</f>
        <v>550674.68778000004</v>
      </c>
      <c r="D126" s="49">
        <f t="shared" si="72"/>
        <v>552678.02536000009</v>
      </c>
      <c r="E126" s="49">
        <f t="shared" si="72"/>
        <v>552678.02536000009</v>
      </c>
      <c r="F126" s="49">
        <f t="shared" si="72"/>
        <v>553272.48732000007</v>
      </c>
      <c r="G126" s="49">
        <f t="shared" si="72"/>
        <v>553272.48732000007</v>
      </c>
      <c r="H126" s="49">
        <f t="shared" si="72"/>
        <v>573198.24252000009</v>
      </c>
      <c r="I126" s="49">
        <f>I127</f>
        <v>591569.12652000005</v>
      </c>
      <c r="J126" s="49">
        <f t="shared" si="72"/>
        <v>590827.70948000008</v>
      </c>
      <c r="K126" s="49">
        <f t="shared" si="72"/>
        <v>590827.70948000008</v>
      </c>
      <c r="L126" s="49">
        <f t="shared" si="72"/>
        <v>589763.40688000002</v>
      </c>
      <c r="M126" s="25">
        <f t="shared" si="65"/>
        <v>1.0709833227628147</v>
      </c>
      <c r="N126" s="25">
        <f t="shared" si="66"/>
        <v>0.99819862443327723</v>
      </c>
      <c r="O126" s="50"/>
    </row>
    <row r="127" spans="1:15" ht="45.75" x14ac:dyDescent="0.25">
      <c r="A127" s="47" t="s">
        <v>193</v>
      </c>
      <c r="B127" s="48" t="s">
        <v>192</v>
      </c>
      <c r="C127" s="49">
        <f>281753.656+196412.337+4135+7900.3575+909.86+3.38708+8212.25894+33.911+3900.437+37353.39826+1.3567+760.7483+9297.98</f>
        <v>550674.68778000004</v>
      </c>
      <c r="D127" s="49">
        <f>C127+2003.33758</f>
        <v>552678.02536000009</v>
      </c>
      <c r="E127" s="49">
        <f>D127</f>
        <v>552678.02536000009</v>
      </c>
      <c r="F127" s="49">
        <f>E127+594.46196</f>
        <v>553272.48732000007</v>
      </c>
      <c r="G127" s="49">
        <f>F127</f>
        <v>553272.48732000007</v>
      </c>
      <c r="H127" s="49">
        <f>G127+19925.7552</f>
        <v>573198.24252000009</v>
      </c>
      <c r="I127" s="49">
        <f>H127+9170.747+9200.137</f>
        <v>591569.12652000005</v>
      </c>
      <c r="J127" s="49">
        <f>I127-741.41704</f>
        <v>590827.70948000008</v>
      </c>
      <c r="K127" s="49">
        <f>J127</f>
        <v>590827.70948000008</v>
      </c>
      <c r="L127" s="49">
        <v>589763.40688000002</v>
      </c>
      <c r="M127" s="25">
        <f t="shared" si="65"/>
        <v>1.0709833227628147</v>
      </c>
      <c r="N127" s="25">
        <f t="shared" si="66"/>
        <v>0.99819862443327723</v>
      </c>
      <c r="O127" s="50"/>
    </row>
    <row r="128" spans="1:15" ht="90.75" x14ac:dyDescent="0.25">
      <c r="A128" s="47" t="s">
        <v>195</v>
      </c>
      <c r="B128" s="48" t="s">
        <v>194</v>
      </c>
      <c r="C128" s="49">
        <f t="shared" ref="C128:L128" si="73">C129</f>
        <v>16477.575000000001</v>
      </c>
      <c r="D128" s="49">
        <f t="shared" si="73"/>
        <v>16477.575000000001</v>
      </c>
      <c r="E128" s="49">
        <f t="shared" si="73"/>
        <v>16477.575000000001</v>
      </c>
      <c r="F128" s="49">
        <f t="shared" si="73"/>
        <v>16477.575000000001</v>
      </c>
      <c r="G128" s="49">
        <f t="shared" si="73"/>
        <v>16477.575000000001</v>
      </c>
      <c r="H128" s="49">
        <f t="shared" si="73"/>
        <v>16477.575000000001</v>
      </c>
      <c r="I128" s="49">
        <f>I129</f>
        <v>16477.575000000001</v>
      </c>
      <c r="J128" s="49">
        <f t="shared" si="73"/>
        <v>13800</v>
      </c>
      <c r="K128" s="49">
        <f t="shared" si="73"/>
        <v>13800</v>
      </c>
      <c r="L128" s="49">
        <f t="shared" si="73"/>
        <v>13309</v>
      </c>
      <c r="M128" s="25">
        <f t="shared" si="65"/>
        <v>0.80770380350263915</v>
      </c>
      <c r="N128" s="25">
        <f t="shared" si="66"/>
        <v>0.96442028985507244</v>
      </c>
      <c r="O128" s="50"/>
    </row>
    <row r="129" spans="1:15" ht="90.75" x14ac:dyDescent="0.25">
      <c r="A129" s="47" t="s">
        <v>197</v>
      </c>
      <c r="B129" s="48" t="s">
        <v>196</v>
      </c>
      <c r="C129" s="49">
        <v>16477.575000000001</v>
      </c>
      <c r="D129" s="49">
        <f t="shared" ref="D129:I129" si="74">C129</f>
        <v>16477.575000000001</v>
      </c>
      <c r="E129" s="49">
        <f t="shared" si="74"/>
        <v>16477.575000000001</v>
      </c>
      <c r="F129" s="49">
        <f t="shared" si="74"/>
        <v>16477.575000000001</v>
      </c>
      <c r="G129" s="49">
        <f t="shared" si="74"/>
        <v>16477.575000000001</v>
      </c>
      <c r="H129" s="49">
        <f t="shared" si="74"/>
        <v>16477.575000000001</v>
      </c>
      <c r="I129" s="49">
        <f t="shared" si="74"/>
        <v>16477.575000000001</v>
      </c>
      <c r="J129" s="49">
        <f>I129-2677.575</f>
        <v>13800</v>
      </c>
      <c r="K129" s="49">
        <f>J129</f>
        <v>13800</v>
      </c>
      <c r="L129" s="49">
        <v>13309</v>
      </c>
      <c r="M129" s="25">
        <f t="shared" si="65"/>
        <v>0.80770380350263915</v>
      </c>
      <c r="N129" s="25">
        <f t="shared" si="66"/>
        <v>0.96442028985507244</v>
      </c>
      <c r="O129" s="50"/>
    </row>
    <row r="130" spans="1:15" ht="90.75" x14ac:dyDescent="0.25">
      <c r="A130" s="47" t="s">
        <v>199</v>
      </c>
      <c r="B130" s="48" t="s">
        <v>198</v>
      </c>
      <c r="C130" s="60">
        <f t="shared" ref="C130:L130" si="75">C131</f>
        <v>29186.227879999999</v>
      </c>
      <c r="D130" s="60">
        <f t="shared" si="75"/>
        <v>29186.227879999999</v>
      </c>
      <c r="E130" s="60">
        <f t="shared" si="75"/>
        <v>29186.227879999999</v>
      </c>
      <c r="F130" s="60">
        <f t="shared" si="75"/>
        <v>29186.227879999999</v>
      </c>
      <c r="G130" s="60">
        <f t="shared" si="75"/>
        <v>29186.227879999999</v>
      </c>
      <c r="H130" s="60">
        <f t="shared" si="75"/>
        <v>29186.227879999999</v>
      </c>
      <c r="I130" s="60">
        <f>I131</f>
        <v>29186.227879999999</v>
      </c>
      <c r="J130" s="60">
        <f t="shared" si="75"/>
        <v>29186.227879999999</v>
      </c>
      <c r="K130" s="60">
        <f t="shared" si="75"/>
        <v>29000.64098</v>
      </c>
      <c r="L130" s="60">
        <f t="shared" si="75"/>
        <v>29000.639999999999</v>
      </c>
      <c r="M130" s="25">
        <f t="shared" si="65"/>
        <v>0.99364125159431194</v>
      </c>
      <c r="N130" s="25">
        <f t="shared" si="66"/>
        <v>0.99999996620764342</v>
      </c>
      <c r="O130" s="50"/>
    </row>
    <row r="131" spans="1:15" ht="90.75" x14ac:dyDescent="0.25">
      <c r="A131" s="47" t="s">
        <v>201</v>
      </c>
      <c r="B131" s="48" t="s">
        <v>200</v>
      </c>
      <c r="C131" s="60">
        <v>29186.227879999999</v>
      </c>
      <c r="D131" s="60">
        <f t="shared" ref="D131:J131" si="76">C131</f>
        <v>29186.227879999999</v>
      </c>
      <c r="E131" s="60">
        <f t="shared" si="76"/>
        <v>29186.227879999999</v>
      </c>
      <c r="F131" s="60">
        <f t="shared" si="76"/>
        <v>29186.227879999999</v>
      </c>
      <c r="G131" s="60">
        <f t="shared" si="76"/>
        <v>29186.227879999999</v>
      </c>
      <c r="H131" s="60">
        <f t="shared" si="76"/>
        <v>29186.227879999999</v>
      </c>
      <c r="I131" s="60">
        <f t="shared" si="76"/>
        <v>29186.227879999999</v>
      </c>
      <c r="J131" s="60">
        <f t="shared" si="76"/>
        <v>29186.227879999999</v>
      </c>
      <c r="K131" s="60">
        <f>J131-185.5869</f>
        <v>29000.64098</v>
      </c>
      <c r="L131" s="60">
        <v>29000.639999999999</v>
      </c>
      <c r="M131" s="25">
        <f t="shared" si="65"/>
        <v>0.99364125159431194</v>
      </c>
      <c r="N131" s="25">
        <f t="shared" si="66"/>
        <v>0.99999996620764342</v>
      </c>
      <c r="O131" s="50"/>
    </row>
    <row r="132" spans="1:15" ht="68.25" x14ac:dyDescent="0.25">
      <c r="A132" s="47" t="s">
        <v>203</v>
      </c>
      <c r="B132" s="48" t="s">
        <v>202</v>
      </c>
      <c r="C132" s="84">
        <f t="shared" ref="C132:L132" si="77">C133</f>
        <v>533.08100000000002</v>
      </c>
      <c r="D132" s="84">
        <f t="shared" si="77"/>
        <v>533.08100000000002</v>
      </c>
      <c r="E132" s="84">
        <f t="shared" si="77"/>
        <v>533.08100000000002</v>
      </c>
      <c r="F132" s="84">
        <f t="shared" si="77"/>
        <v>533.08100000000002</v>
      </c>
      <c r="G132" s="84">
        <f t="shared" si="77"/>
        <v>533.08100000000002</v>
      </c>
      <c r="H132" s="84">
        <f t="shared" si="77"/>
        <v>533.08100000000002</v>
      </c>
      <c r="I132" s="84">
        <f>I133</f>
        <v>533.08100000000002</v>
      </c>
      <c r="J132" s="84">
        <f t="shared" si="77"/>
        <v>533.08100000000002</v>
      </c>
      <c r="K132" s="49">
        <f t="shared" si="77"/>
        <v>533.08100000000002</v>
      </c>
      <c r="L132" s="49">
        <f t="shared" si="77"/>
        <v>533.08100000000002</v>
      </c>
      <c r="M132" s="25">
        <f t="shared" si="65"/>
        <v>1</v>
      </c>
      <c r="N132" s="25">
        <f t="shared" si="66"/>
        <v>1</v>
      </c>
      <c r="O132" s="50"/>
    </row>
    <row r="133" spans="1:15" ht="79.5" x14ac:dyDescent="0.25">
      <c r="A133" s="47" t="s">
        <v>205</v>
      </c>
      <c r="B133" s="48" t="s">
        <v>204</v>
      </c>
      <c r="C133" s="84">
        <v>533.08100000000002</v>
      </c>
      <c r="D133" s="84">
        <f t="shared" ref="D133:K133" si="78">C133</f>
        <v>533.08100000000002</v>
      </c>
      <c r="E133" s="84">
        <f t="shared" si="78"/>
        <v>533.08100000000002</v>
      </c>
      <c r="F133" s="84">
        <f t="shared" si="78"/>
        <v>533.08100000000002</v>
      </c>
      <c r="G133" s="84">
        <f t="shared" si="78"/>
        <v>533.08100000000002</v>
      </c>
      <c r="H133" s="84">
        <f t="shared" si="78"/>
        <v>533.08100000000002</v>
      </c>
      <c r="I133" s="84">
        <f t="shared" si="78"/>
        <v>533.08100000000002</v>
      </c>
      <c r="J133" s="84">
        <f t="shared" si="78"/>
        <v>533.08100000000002</v>
      </c>
      <c r="K133" s="49">
        <f t="shared" si="78"/>
        <v>533.08100000000002</v>
      </c>
      <c r="L133" s="49">
        <v>533.08100000000002</v>
      </c>
      <c r="M133" s="25">
        <f t="shared" si="65"/>
        <v>1</v>
      </c>
      <c r="N133" s="25">
        <f t="shared" si="66"/>
        <v>1</v>
      </c>
      <c r="O133" s="50"/>
    </row>
    <row r="134" spans="1:15" ht="45.75" x14ac:dyDescent="0.25">
      <c r="A134" s="47" t="s">
        <v>236</v>
      </c>
      <c r="B134" s="48" t="s">
        <v>237</v>
      </c>
      <c r="C134" s="49">
        <f t="shared" ref="C134:L134" si="79">C135</f>
        <v>0</v>
      </c>
      <c r="D134" s="49">
        <f t="shared" si="79"/>
        <v>0</v>
      </c>
      <c r="E134" s="49">
        <f t="shared" si="79"/>
        <v>0</v>
      </c>
      <c r="F134" s="49">
        <f t="shared" si="79"/>
        <v>0</v>
      </c>
      <c r="G134" s="49">
        <f t="shared" si="79"/>
        <v>0</v>
      </c>
      <c r="H134" s="49">
        <f t="shared" si="79"/>
        <v>0</v>
      </c>
      <c r="I134" s="49"/>
      <c r="J134" s="49">
        <f t="shared" si="79"/>
        <v>0</v>
      </c>
      <c r="K134" s="49">
        <f t="shared" si="79"/>
        <v>0</v>
      </c>
      <c r="L134" s="49">
        <f t="shared" si="79"/>
        <v>0</v>
      </c>
      <c r="M134" s="25"/>
      <c r="N134" s="25"/>
      <c r="O134" s="50"/>
    </row>
    <row r="135" spans="1:15" ht="57" x14ac:dyDescent="0.25">
      <c r="A135" s="47" t="s">
        <v>238</v>
      </c>
      <c r="B135" s="48" t="s">
        <v>239</v>
      </c>
      <c r="C135" s="49">
        <v>0</v>
      </c>
      <c r="D135" s="49">
        <f>C135</f>
        <v>0</v>
      </c>
      <c r="E135" s="49">
        <v>0</v>
      </c>
      <c r="F135" s="49">
        <f>E135</f>
        <v>0</v>
      </c>
      <c r="G135" s="49">
        <v>0</v>
      </c>
      <c r="H135" s="49">
        <f>G135</f>
        <v>0</v>
      </c>
      <c r="I135" s="49"/>
      <c r="J135" s="49"/>
      <c r="K135" s="49"/>
      <c r="L135" s="49"/>
      <c r="M135" s="25"/>
      <c r="N135" s="25"/>
      <c r="O135" s="50"/>
    </row>
    <row r="136" spans="1:15" ht="79.5" x14ac:dyDescent="0.25">
      <c r="A136" s="47" t="s">
        <v>248</v>
      </c>
      <c r="B136" s="48" t="s">
        <v>249</v>
      </c>
      <c r="C136" s="49">
        <f t="shared" ref="C136:L136" si="80">C137</f>
        <v>30928.1</v>
      </c>
      <c r="D136" s="49">
        <f t="shared" si="80"/>
        <v>30928.1</v>
      </c>
      <c r="E136" s="49">
        <f t="shared" si="80"/>
        <v>30928.1</v>
      </c>
      <c r="F136" s="49">
        <f t="shared" si="80"/>
        <v>30928.1</v>
      </c>
      <c r="G136" s="49">
        <f t="shared" si="80"/>
        <v>30928.1</v>
      </c>
      <c r="H136" s="49">
        <f t="shared" si="80"/>
        <v>30928.1</v>
      </c>
      <c r="I136" s="49">
        <f>I137</f>
        <v>30928.1</v>
      </c>
      <c r="J136" s="49">
        <f t="shared" si="80"/>
        <v>33934.574999999997</v>
      </c>
      <c r="K136" s="49">
        <f t="shared" si="80"/>
        <v>33934.574999999997</v>
      </c>
      <c r="L136" s="49">
        <f t="shared" si="80"/>
        <v>33934.574999999997</v>
      </c>
      <c r="M136" s="25">
        <f t="shared" si="65"/>
        <v>1.0972085255802975</v>
      </c>
      <c r="N136" s="25">
        <f t="shared" si="66"/>
        <v>1</v>
      </c>
      <c r="O136" s="50"/>
    </row>
    <row r="137" spans="1:15" ht="79.5" x14ac:dyDescent="0.25">
      <c r="A137" s="47" t="s">
        <v>248</v>
      </c>
      <c r="B137" s="48" t="s">
        <v>250</v>
      </c>
      <c r="C137" s="49">
        <v>30928.1</v>
      </c>
      <c r="D137" s="49">
        <f t="shared" ref="D137:I137" si="81">C137</f>
        <v>30928.1</v>
      </c>
      <c r="E137" s="49">
        <f t="shared" si="81"/>
        <v>30928.1</v>
      </c>
      <c r="F137" s="49">
        <f t="shared" si="81"/>
        <v>30928.1</v>
      </c>
      <c r="G137" s="49">
        <f t="shared" si="81"/>
        <v>30928.1</v>
      </c>
      <c r="H137" s="49">
        <f t="shared" si="81"/>
        <v>30928.1</v>
      </c>
      <c r="I137" s="49">
        <f t="shared" si="81"/>
        <v>30928.1</v>
      </c>
      <c r="J137" s="49">
        <f>I137+3006.475</f>
        <v>33934.574999999997</v>
      </c>
      <c r="K137" s="49">
        <f>J137</f>
        <v>33934.574999999997</v>
      </c>
      <c r="L137" s="49">
        <v>33934.574999999997</v>
      </c>
      <c r="M137" s="25">
        <f t="shared" si="65"/>
        <v>1.0972085255802975</v>
      </c>
      <c r="N137" s="25">
        <f t="shared" si="66"/>
        <v>1</v>
      </c>
      <c r="O137" s="50"/>
    </row>
    <row r="138" spans="1:15" ht="34.5" x14ac:dyDescent="0.25">
      <c r="A138" s="47" t="s">
        <v>264</v>
      </c>
      <c r="B138" s="48" t="s">
        <v>263</v>
      </c>
      <c r="C138" s="49">
        <f t="shared" ref="C138:L138" si="82">C139</f>
        <v>0</v>
      </c>
      <c r="D138" s="49">
        <f t="shared" si="82"/>
        <v>0</v>
      </c>
      <c r="E138" s="49">
        <f t="shared" si="82"/>
        <v>0</v>
      </c>
      <c r="F138" s="49">
        <f t="shared" si="82"/>
        <v>0</v>
      </c>
      <c r="G138" s="49">
        <f t="shared" si="82"/>
        <v>0</v>
      </c>
      <c r="H138" s="49">
        <f t="shared" si="82"/>
        <v>0</v>
      </c>
      <c r="I138" s="49"/>
      <c r="J138" s="49">
        <f t="shared" si="82"/>
        <v>0</v>
      </c>
      <c r="K138" s="49">
        <f t="shared" si="82"/>
        <v>0</v>
      </c>
      <c r="L138" s="49">
        <f t="shared" si="82"/>
        <v>0</v>
      </c>
      <c r="M138" s="25"/>
      <c r="N138" s="25"/>
      <c r="O138" s="50"/>
    </row>
    <row r="139" spans="1:15" ht="45.75" x14ac:dyDescent="0.25">
      <c r="A139" s="47" t="s">
        <v>261</v>
      </c>
      <c r="B139" s="48" t="s">
        <v>262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25"/>
      <c r="N139" s="25"/>
      <c r="O139" s="50"/>
    </row>
    <row r="140" spans="1:15" ht="34.5" x14ac:dyDescent="0.25">
      <c r="A140" s="47" t="s">
        <v>207</v>
      </c>
      <c r="B140" s="48" t="s">
        <v>206</v>
      </c>
      <c r="C140" s="49">
        <f t="shared" ref="C140:L140" si="83">C141</f>
        <v>3677.2190000000001</v>
      </c>
      <c r="D140" s="49">
        <f t="shared" si="83"/>
        <v>3677.2190000000001</v>
      </c>
      <c r="E140" s="49">
        <f t="shared" si="83"/>
        <v>3677.2190000000001</v>
      </c>
      <c r="F140" s="49">
        <f t="shared" si="83"/>
        <v>3677.2190000000001</v>
      </c>
      <c r="G140" s="49">
        <f t="shared" si="83"/>
        <v>3677.2190000000001</v>
      </c>
      <c r="H140" s="49">
        <f t="shared" si="83"/>
        <v>3677.2190000000001</v>
      </c>
      <c r="I140" s="49">
        <f>I141</f>
        <v>3831.5570000000002</v>
      </c>
      <c r="J140" s="49">
        <f t="shared" si="83"/>
        <v>3845.9880000000003</v>
      </c>
      <c r="K140" s="49">
        <f t="shared" si="83"/>
        <v>3845.9880000000003</v>
      </c>
      <c r="L140" s="49">
        <f t="shared" si="83"/>
        <v>3845.9879999999998</v>
      </c>
      <c r="M140" s="25">
        <f t="shared" si="65"/>
        <v>1.0458958250786803</v>
      </c>
      <c r="N140" s="25">
        <f t="shared" si="66"/>
        <v>0.99999999999999989</v>
      </c>
      <c r="O140" s="50"/>
    </row>
    <row r="141" spans="1:15" ht="45.75" x14ac:dyDescent="0.25">
      <c r="A141" s="47" t="s">
        <v>209</v>
      </c>
      <c r="B141" s="48" t="s">
        <v>208</v>
      </c>
      <c r="C141" s="49">
        <v>3677.2190000000001</v>
      </c>
      <c r="D141" s="49">
        <f>C141</f>
        <v>3677.2190000000001</v>
      </c>
      <c r="E141" s="49">
        <f>D141</f>
        <v>3677.2190000000001</v>
      </c>
      <c r="F141" s="49">
        <f>E141</f>
        <v>3677.2190000000001</v>
      </c>
      <c r="G141" s="49">
        <f>F141</f>
        <v>3677.2190000000001</v>
      </c>
      <c r="H141" s="49">
        <f>G141</f>
        <v>3677.2190000000001</v>
      </c>
      <c r="I141" s="49">
        <f>H141+154.338</f>
        <v>3831.5570000000002</v>
      </c>
      <c r="J141" s="49">
        <f>I141+14.431</f>
        <v>3845.9880000000003</v>
      </c>
      <c r="K141" s="49">
        <f>J141</f>
        <v>3845.9880000000003</v>
      </c>
      <c r="L141" s="49">
        <v>3845.9879999999998</v>
      </c>
      <c r="M141" s="25">
        <f t="shared" si="65"/>
        <v>1.0458958250786803</v>
      </c>
      <c r="N141" s="25">
        <f t="shared" si="66"/>
        <v>0.99999999999999989</v>
      </c>
      <c r="O141" s="50"/>
    </row>
    <row r="142" spans="1:15" ht="45.75" x14ac:dyDescent="0.25">
      <c r="A142" s="47" t="s">
        <v>267</v>
      </c>
      <c r="B142" s="48" t="s">
        <v>268</v>
      </c>
      <c r="C142" s="49">
        <f t="shared" ref="C142:L142" si="84">C143</f>
        <v>2245.08</v>
      </c>
      <c r="D142" s="49">
        <f t="shared" si="84"/>
        <v>2245.08</v>
      </c>
      <c r="E142" s="49">
        <f t="shared" si="84"/>
        <v>2245.08</v>
      </c>
      <c r="F142" s="49">
        <f t="shared" si="84"/>
        <v>2245.08</v>
      </c>
      <c r="G142" s="49">
        <f t="shared" si="84"/>
        <v>2245.08</v>
      </c>
      <c r="H142" s="49">
        <f t="shared" si="84"/>
        <v>2245.08</v>
      </c>
      <c r="I142" s="49">
        <f>I143</f>
        <v>2245.08</v>
      </c>
      <c r="J142" s="49">
        <f t="shared" si="84"/>
        <v>2245.08</v>
      </c>
      <c r="K142" s="49">
        <f t="shared" si="84"/>
        <v>2245.08</v>
      </c>
      <c r="L142" s="49">
        <f t="shared" si="84"/>
        <v>2245.08</v>
      </c>
      <c r="M142" s="25">
        <f t="shared" si="65"/>
        <v>1</v>
      </c>
      <c r="N142" s="25">
        <f t="shared" si="66"/>
        <v>1</v>
      </c>
      <c r="O142" s="50"/>
    </row>
    <row r="143" spans="1:15" ht="45.75" customHeight="1" x14ac:dyDescent="0.25">
      <c r="A143" s="47" t="s">
        <v>265</v>
      </c>
      <c r="B143" s="48" t="s">
        <v>266</v>
      </c>
      <c r="C143" s="49">
        <v>2245.08</v>
      </c>
      <c r="D143" s="49">
        <f t="shared" ref="D143:K143" si="85">C143</f>
        <v>2245.08</v>
      </c>
      <c r="E143" s="49">
        <f t="shared" si="85"/>
        <v>2245.08</v>
      </c>
      <c r="F143" s="49">
        <f t="shared" si="85"/>
        <v>2245.08</v>
      </c>
      <c r="G143" s="49">
        <f t="shared" si="85"/>
        <v>2245.08</v>
      </c>
      <c r="H143" s="49">
        <f t="shared" si="85"/>
        <v>2245.08</v>
      </c>
      <c r="I143" s="49">
        <f t="shared" si="85"/>
        <v>2245.08</v>
      </c>
      <c r="J143" s="49">
        <f t="shared" si="85"/>
        <v>2245.08</v>
      </c>
      <c r="K143" s="49">
        <f t="shared" si="85"/>
        <v>2245.08</v>
      </c>
      <c r="L143" s="49">
        <v>2245.08</v>
      </c>
      <c r="M143" s="25">
        <f t="shared" si="65"/>
        <v>1</v>
      </c>
      <c r="N143" s="25">
        <f t="shared" si="66"/>
        <v>1</v>
      </c>
      <c r="O143" s="50"/>
    </row>
    <row r="144" spans="1:15" ht="45.75" customHeight="1" x14ac:dyDescent="0.25">
      <c r="A144" s="47" t="s">
        <v>277</v>
      </c>
      <c r="B144" s="48" t="s">
        <v>276</v>
      </c>
      <c r="C144" s="49">
        <f>C145</f>
        <v>901.62699999999995</v>
      </c>
      <c r="D144" s="49">
        <f>C144</f>
        <v>901.62699999999995</v>
      </c>
      <c r="E144" s="49">
        <f>E145</f>
        <v>901.62699999999995</v>
      </c>
      <c r="F144" s="49">
        <f t="shared" ref="F144" si="86">E144</f>
        <v>901.62699999999995</v>
      </c>
      <c r="G144" s="49">
        <f t="shared" ref="G144:L144" si="87">G145</f>
        <v>901.62699999999995</v>
      </c>
      <c r="H144" s="49">
        <f t="shared" si="87"/>
        <v>901.62699999999995</v>
      </c>
      <c r="I144" s="49">
        <f t="shared" si="87"/>
        <v>901.62699999999995</v>
      </c>
      <c r="J144" s="49">
        <f t="shared" si="87"/>
        <v>901.62699999999995</v>
      </c>
      <c r="K144" s="49">
        <f t="shared" si="87"/>
        <v>901.62699999999995</v>
      </c>
      <c r="L144" s="49">
        <f t="shared" si="87"/>
        <v>901.62699999999995</v>
      </c>
      <c r="M144" s="25">
        <f t="shared" si="65"/>
        <v>1</v>
      </c>
      <c r="N144" s="25">
        <f t="shared" si="66"/>
        <v>1</v>
      </c>
      <c r="O144" s="50"/>
    </row>
    <row r="145" spans="1:15" ht="45.75" customHeight="1" thickBot="1" x14ac:dyDescent="0.3">
      <c r="A145" s="37" t="s">
        <v>275</v>
      </c>
      <c r="B145" s="38" t="s">
        <v>278</v>
      </c>
      <c r="C145" s="39">
        <v>901.62699999999995</v>
      </c>
      <c r="D145" s="39">
        <f>C145</f>
        <v>901.62699999999995</v>
      </c>
      <c r="E145" s="39">
        <f t="shared" ref="E145:K145" si="88">D145</f>
        <v>901.62699999999995</v>
      </c>
      <c r="F145" s="39">
        <f t="shared" si="88"/>
        <v>901.62699999999995</v>
      </c>
      <c r="G145" s="39">
        <f t="shared" si="88"/>
        <v>901.62699999999995</v>
      </c>
      <c r="H145" s="39">
        <f t="shared" si="88"/>
        <v>901.62699999999995</v>
      </c>
      <c r="I145" s="39">
        <f t="shared" si="88"/>
        <v>901.62699999999995</v>
      </c>
      <c r="J145" s="39">
        <f t="shared" si="88"/>
        <v>901.62699999999995</v>
      </c>
      <c r="K145" s="39">
        <f t="shared" si="88"/>
        <v>901.62699999999995</v>
      </c>
      <c r="L145" s="39">
        <v>901.62699999999995</v>
      </c>
      <c r="M145" s="40">
        <f t="shared" si="65"/>
        <v>1</v>
      </c>
      <c r="N145" s="40">
        <f t="shared" si="66"/>
        <v>1</v>
      </c>
      <c r="O145" s="41"/>
    </row>
    <row r="146" spans="1:15" ht="79.5" x14ac:dyDescent="0.25">
      <c r="A146" s="69" t="s">
        <v>251</v>
      </c>
      <c r="B146" s="43" t="s">
        <v>252</v>
      </c>
      <c r="C146" s="44">
        <f t="shared" ref="C146:L146" si="89">C147</f>
        <v>27729</v>
      </c>
      <c r="D146" s="44">
        <f t="shared" si="89"/>
        <v>27729</v>
      </c>
      <c r="E146" s="44">
        <f t="shared" si="89"/>
        <v>27729</v>
      </c>
      <c r="F146" s="44">
        <f t="shared" si="89"/>
        <v>27729</v>
      </c>
      <c r="G146" s="44">
        <f t="shared" si="89"/>
        <v>27729</v>
      </c>
      <c r="H146" s="44">
        <f t="shared" si="89"/>
        <v>27729</v>
      </c>
      <c r="I146" s="44">
        <f>I147</f>
        <v>27729</v>
      </c>
      <c r="J146" s="44">
        <f t="shared" si="89"/>
        <v>27729</v>
      </c>
      <c r="K146" s="44">
        <f t="shared" si="89"/>
        <v>25793.505000000001</v>
      </c>
      <c r="L146" s="44">
        <f t="shared" si="89"/>
        <v>25419.327089999999</v>
      </c>
      <c r="M146" s="45">
        <f t="shared" si="65"/>
        <v>0.91670551011576329</v>
      </c>
      <c r="N146" s="45">
        <f t="shared" si="66"/>
        <v>0.98549332826228919</v>
      </c>
      <c r="O146" s="70"/>
    </row>
    <row r="147" spans="1:15" ht="90.75" x14ac:dyDescent="0.25">
      <c r="A147" s="71" t="s">
        <v>253</v>
      </c>
      <c r="B147" s="48" t="s">
        <v>254</v>
      </c>
      <c r="C147" s="49">
        <v>27729</v>
      </c>
      <c r="D147" s="49">
        <f t="shared" ref="D147:J147" si="90">C147</f>
        <v>27729</v>
      </c>
      <c r="E147" s="49">
        <f t="shared" si="90"/>
        <v>27729</v>
      </c>
      <c r="F147" s="49">
        <f t="shared" si="90"/>
        <v>27729</v>
      </c>
      <c r="G147" s="49">
        <f t="shared" si="90"/>
        <v>27729</v>
      </c>
      <c r="H147" s="49">
        <f t="shared" si="90"/>
        <v>27729</v>
      </c>
      <c r="I147" s="49">
        <f t="shared" si="90"/>
        <v>27729</v>
      </c>
      <c r="J147" s="49">
        <f t="shared" si="90"/>
        <v>27729</v>
      </c>
      <c r="K147" s="49">
        <f>J147-1935.495</f>
        <v>25793.505000000001</v>
      </c>
      <c r="L147" s="49">
        <v>25419.327089999999</v>
      </c>
      <c r="M147" s="25">
        <f t="shared" si="65"/>
        <v>0.91670551011576329</v>
      </c>
      <c r="N147" s="25">
        <f t="shared" si="66"/>
        <v>0.98549332826228919</v>
      </c>
      <c r="O147" s="72"/>
    </row>
    <row r="148" spans="1:15" ht="121.5" customHeight="1" x14ac:dyDescent="0.25">
      <c r="A148" s="71" t="s">
        <v>302</v>
      </c>
      <c r="B148" s="48" t="s">
        <v>304</v>
      </c>
      <c r="C148" s="49"/>
      <c r="D148" s="49"/>
      <c r="E148" s="49"/>
      <c r="F148" s="49"/>
      <c r="G148" s="49"/>
      <c r="H148" s="49"/>
      <c r="I148" s="49">
        <f>I149</f>
        <v>128721.9</v>
      </c>
      <c r="J148" s="49">
        <f>J149</f>
        <v>128721.9</v>
      </c>
      <c r="K148" s="49">
        <f>K149</f>
        <v>128721.9</v>
      </c>
      <c r="L148" s="49">
        <f>L149</f>
        <v>128721.9</v>
      </c>
      <c r="M148" s="25" t="e">
        <f t="shared" ref="M148:M149" si="91">L148/C148</f>
        <v>#DIV/0!</v>
      </c>
      <c r="N148" s="25">
        <f t="shared" ref="N148:N149" si="92">L148/K148</f>
        <v>1</v>
      </c>
      <c r="O148" s="72"/>
    </row>
    <row r="149" spans="1:15" ht="121.5" customHeight="1" x14ac:dyDescent="0.25">
      <c r="A149" s="71" t="s">
        <v>303</v>
      </c>
      <c r="B149" s="48" t="s">
        <v>305</v>
      </c>
      <c r="C149" s="49"/>
      <c r="D149" s="49"/>
      <c r="E149" s="49"/>
      <c r="F149" s="49"/>
      <c r="G149" s="49"/>
      <c r="H149" s="49"/>
      <c r="I149" s="49">
        <v>128721.9</v>
      </c>
      <c r="J149" s="49">
        <f>I149</f>
        <v>128721.9</v>
      </c>
      <c r="K149" s="49">
        <f>J149</f>
        <v>128721.9</v>
      </c>
      <c r="L149" s="49">
        <v>128721.9</v>
      </c>
      <c r="M149" s="25" t="e">
        <f t="shared" si="91"/>
        <v>#DIV/0!</v>
      </c>
      <c r="N149" s="25">
        <f t="shared" si="92"/>
        <v>1</v>
      </c>
      <c r="O149" s="72"/>
    </row>
    <row r="150" spans="1:15" ht="45.75" x14ac:dyDescent="0.25">
      <c r="A150" s="71" t="s">
        <v>270</v>
      </c>
      <c r="B150" s="48" t="s">
        <v>272</v>
      </c>
      <c r="C150" s="49">
        <f t="shared" ref="C150:L150" si="93">C151</f>
        <v>0</v>
      </c>
      <c r="D150" s="49">
        <f t="shared" si="93"/>
        <v>0</v>
      </c>
      <c r="E150" s="49">
        <f t="shared" si="93"/>
        <v>0</v>
      </c>
      <c r="F150" s="49">
        <f t="shared" si="93"/>
        <v>0</v>
      </c>
      <c r="G150" s="49">
        <f t="shared" si="93"/>
        <v>0</v>
      </c>
      <c r="H150" s="49"/>
      <c r="I150" s="49"/>
      <c r="J150" s="49">
        <f t="shared" si="93"/>
        <v>0</v>
      </c>
      <c r="K150" s="49">
        <f t="shared" si="93"/>
        <v>0</v>
      </c>
      <c r="L150" s="49">
        <f t="shared" si="93"/>
        <v>0</v>
      </c>
      <c r="M150" s="25"/>
      <c r="N150" s="25"/>
      <c r="O150" s="72"/>
    </row>
    <row r="151" spans="1:15" ht="57" x14ac:dyDescent="0.25">
      <c r="A151" s="73" t="s">
        <v>269</v>
      </c>
      <c r="B151" s="52" t="s">
        <v>271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30"/>
      <c r="N151" s="30"/>
      <c r="O151" s="74"/>
    </row>
    <row r="152" spans="1:15" ht="34.5" x14ac:dyDescent="0.25">
      <c r="A152" s="71" t="s">
        <v>298</v>
      </c>
      <c r="B152" s="48" t="s">
        <v>299</v>
      </c>
      <c r="C152" s="49"/>
      <c r="D152" s="49"/>
      <c r="E152" s="49"/>
      <c r="F152" s="49"/>
      <c r="G152" s="49"/>
      <c r="H152" s="49">
        <f>H153</f>
        <v>6050</v>
      </c>
      <c r="I152" s="49">
        <f>I153</f>
        <v>6050</v>
      </c>
      <c r="J152" s="49">
        <f>J153</f>
        <v>6050</v>
      </c>
      <c r="K152" s="49">
        <f>K153</f>
        <v>6050</v>
      </c>
      <c r="L152" s="49">
        <f>L153</f>
        <v>6050</v>
      </c>
      <c r="M152" s="30" t="e">
        <f t="shared" ref="M152:M153" si="94">L152/C152</f>
        <v>#DIV/0!</v>
      </c>
      <c r="N152" s="30">
        <f t="shared" ref="N152:N153" si="95">L152/K152</f>
        <v>1</v>
      </c>
      <c r="O152" s="72"/>
    </row>
    <row r="153" spans="1:15" ht="46.5" thickBot="1" x14ac:dyDescent="0.3">
      <c r="A153" s="85" t="s">
        <v>298</v>
      </c>
      <c r="B153" s="56" t="s">
        <v>300</v>
      </c>
      <c r="C153" s="54"/>
      <c r="D153" s="54"/>
      <c r="E153" s="54"/>
      <c r="F153" s="54"/>
      <c r="G153" s="54"/>
      <c r="H153" s="54">
        <v>6050</v>
      </c>
      <c r="I153" s="54">
        <f>H153</f>
        <v>6050</v>
      </c>
      <c r="J153" s="54">
        <f>I153</f>
        <v>6050</v>
      </c>
      <c r="K153" s="54">
        <f>J153</f>
        <v>6050</v>
      </c>
      <c r="L153" s="54">
        <v>6050</v>
      </c>
      <c r="M153" s="30" t="e">
        <f t="shared" si="94"/>
        <v>#DIV/0!</v>
      </c>
      <c r="N153" s="30">
        <f t="shared" si="95"/>
        <v>1</v>
      </c>
      <c r="O153" s="86"/>
    </row>
    <row r="154" spans="1:15" ht="57" x14ac:dyDescent="0.25">
      <c r="A154" s="32" t="s">
        <v>211</v>
      </c>
      <c r="B154" s="33" t="s">
        <v>210</v>
      </c>
      <c r="C154" s="62">
        <v>0</v>
      </c>
      <c r="D154" s="62">
        <v>0</v>
      </c>
      <c r="E154" s="62">
        <v>0</v>
      </c>
      <c r="F154" s="62">
        <v>0</v>
      </c>
      <c r="G154" s="62">
        <v>0</v>
      </c>
      <c r="H154" s="62"/>
      <c r="I154" s="62"/>
      <c r="J154" s="62">
        <v>0</v>
      </c>
      <c r="K154" s="62">
        <v>0</v>
      </c>
      <c r="L154" s="62">
        <f>L155</f>
        <v>-858.70102000000009</v>
      </c>
      <c r="M154" s="87"/>
      <c r="N154" s="87"/>
      <c r="O154" s="36"/>
    </row>
    <row r="155" spans="1:15" ht="57" x14ac:dyDescent="0.25">
      <c r="A155" s="47" t="s">
        <v>213</v>
      </c>
      <c r="B155" s="48" t="s">
        <v>212</v>
      </c>
      <c r="C155" s="60">
        <v>0</v>
      </c>
      <c r="D155" s="60">
        <v>0</v>
      </c>
      <c r="E155" s="60">
        <v>0</v>
      </c>
      <c r="F155" s="60">
        <v>0</v>
      </c>
      <c r="G155" s="60">
        <v>0</v>
      </c>
      <c r="H155" s="60"/>
      <c r="I155" s="60"/>
      <c r="J155" s="60">
        <v>0</v>
      </c>
      <c r="K155" s="60">
        <v>0</v>
      </c>
      <c r="L155" s="60">
        <f>L156+L157</f>
        <v>-858.70102000000009</v>
      </c>
      <c r="M155" s="88"/>
      <c r="N155" s="88"/>
      <c r="O155" s="50"/>
    </row>
    <row r="156" spans="1:15" ht="57" x14ac:dyDescent="0.25">
      <c r="A156" s="51" t="s">
        <v>318</v>
      </c>
      <c r="B156" s="52" t="s">
        <v>319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>
        <v>-0.11534999999999999</v>
      </c>
      <c r="M156" s="89"/>
      <c r="N156" s="89"/>
      <c r="O156" s="31"/>
    </row>
    <row r="157" spans="1:15" ht="57.75" thickBot="1" x14ac:dyDescent="0.3">
      <c r="A157" s="37" t="s">
        <v>215</v>
      </c>
      <c r="B157" s="38" t="s">
        <v>214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  <c r="H157" s="63"/>
      <c r="I157" s="63"/>
      <c r="J157" s="63">
        <v>0</v>
      </c>
      <c r="K157" s="63">
        <v>0</v>
      </c>
      <c r="L157" s="63">
        <v>-858.58567000000005</v>
      </c>
      <c r="M157" s="90"/>
      <c r="N157" s="90"/>
      <c r="O157" s="41"/>
    </row>
    <row r="158" spans="1:15" ht="15" customHeight="1" x14ac:dyDescent="0.25">
      <c r="A158" s="3"/>
      <c r="B158" s="3"/>
      <c r="C158" s="97"/>
      <c r="D158" s="97"/>
      <c r="E158" s="97"/>
      <c r="F158" s="97"/>
      <c r="G158" s="97"/>
      <c r="H158" s="97"/>
      <c r="I158" s="97"/>
      <c r="J158" s="97"/>
      <c r="K158" s="98"/>
      <c r="L158" s="98"/>
    </row>
  </sheetData>
  <mergeCells count="1">
    <mergeCell ref="A2:O2"/>
  </mergeCells>
  <pageMargins left="0.39374999999999999" right="0.39374999999999999" top="0.39374999999999999" bottom="0.39374999999999999" header="0.51180550000000002" footer="0.51180550000000002"/>
  <pageSetup paperSize="9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911B6E4-3864-4C98-83E1-687D14AB08A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Irinabb</dc:creator>
  <cp:lastModifiedBy>Савощенко Валерия Владимировна</cp:lastModifiedBy>
  <cp:lastPrinted>2023-04-06T05:09:36Z</cp:lastPrinted>
  <dcterms:created xsi:type="dcterms:W3CDTF">2020-05-26T03:47:10Z</dcterms:created>
  <dcterms:modified xsi:type="dcterms:W3CDTF">2023-04-06T05:39:09Z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992_20001_0503117G_Y_12.2019...xlsx</vt:lpwstr>
  </property>
  <property fmtid="{D5CDD505-2E9C-101B-9397-08002B2CF9AE}" pid="3" name="Название отчета">
    <vt:lpwstr>992_20001_0503117G_Y_12.2019...xlsx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use_vl_2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