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840" windowWidth="24240" windowHeight="11715"/>
  </bookViews>
  <sheets>
    <sheet name="Доходы" sheetId="7" r:id="rId1"/>
    <sheet name="Расходы" sheetId="6" r:id="rId2"/>
  </sheets>
  <calcPr calcId="145621"/>
</workbook>
</file>

<file path=xl/calcChain.xml><?xml version="1.0" encoding="utf-8"?>
<calcChain xmlns="http://schemas.openxmlformats.org/spreadsheetml/2006/main">
  <c r="R8" i="7" l="1"/>
  <c r="R9" i="7"/>
  <c r="R10" i="7"/>
  <c r="R11" i="7"/>
  <c r="R14" i="7"/>
  <c r="R15" i="7"/>
  <c r="R16" i="7"/>
  <c r="R17" i="7"/>
  <c r="R18" i="7"/>
  <c r="R19" i="7"/>
  <c r="R20" i="7"/>
  <c r="R21" i="7"/>
  <c r="R30" i="7"/>
  <c r="R33" i="7"/>
  <c r="R36" i="7"/>
  <c r="R38" i="7"/>
  <c r="R41" i="7"/>
  <c r="R43" i="7"/>
  <c r="R44" i="7"/>
  <c r="R45" i="7"/>
  <c r="R48" i="7"/>
  <c r="R49" i="7"/>
  <c r="R50" i="7"/>
  <c r="R51" i="7"/>
  <c r="R52" i="7"/>
  <c r="R57" i="7"/>
  <c r="R58" i="7"/>
  <c r="R74" i="7"/>
  <c r="R75" i="7"/>
  <c r="R78" i="7"/>
  <c r="R88" i="7"/>
  <c r="R94" i="7"/>
  <c r="R110" i="7"/>
  <c r="R112" i="7"/>
  <c r="R115" i="7"/>
  <c r="R116" i="7"/>
  <c r="R118" i="7"/>
  <c r="R133" i="7"/>
  <c r="R137" i="7"/>
  <c r="R149" i="7"/>
  <c r="R152" i="7"/>
  <c r="R153" i="7"/>
  <c r="R154" i="7"/>
  <c r="R155" i="7"/>
  <c r="P8" i="7"/>
  <c r="P9" i="7"/>
  <c r="P10" i="7"/>
  <c r="P11" i="7"/>
  <c r="P14" i="7"/>
  <c r="P15" i="7"/>
  <c r="P16" i="7"/>
  <c r="P17" i="7"/>
  <c r="P18" i="7"/>
  <c r="P19" i="7"/>
  <c r="P20" i="7"/>
  <c r="P21" i="7"/>
  <c r="P30" i="7"/>
  <c r="P33" i="7"/>
  <c r="P36" i="7"/>
  <c r="P38" i="7"/>
  <c r="P41" i="7"/>
  <c r="P43" i="7"/>
  <c r="P44" i="7"/>
  <c r="P45" i="7"/>
  <c r="P48" i="7"/>
  <c r="P49" i="7"/>
  <c r="P51" i="7"/>
  <c r="P52" i="7"/>
  <c r="P57" i="7"/>
  <c r="P58" i="7"/>
  <c r="P74" i="7"/>
  <c r="P75" i="7"/>
  <c r="P86" i="7"/>
  <c r="P87" i="7"/>
  <c r="P88" i="7"/>
  <c r="P94" i="7"/>
  <c r="P110" i="7"/>
  <c r="P112" i="7"/>
  <c r="P118" i="7"/>
  <c r="P133" i="7"/>
  <c r="P137" i="7"/>
  <c r="P149" i="7"/>
  <c r="P152" i="7"/>
  <c r="P153" i="7"/>
  <c r="P154" i="7"/>
  <c r="P155" i="7"/>
  <c r="S155" i="7" s="1"/>
  <c r="N8" i="7"/>
  <c r="N9" i="7"/>
  <c r="N10" i="7"/>
  <c r="N11" i="7"/>
  <c r="N14" i="7"/>
  <c r="N15" i="7"/>
  <c r="N16" i="7"/>
  <c r="N17" i="7"/>
  <c r="N18" i="7"/>
  <c r="N19" i="7"/>
  <c r="N20" i="7"/>
  <c r="N21" i="7"/>
  <c r="N30" i="7"/>
  <c r="N33" i="7"/>
  <c r="N36" i="7"/>
  <c r="N38" i="7"/>
  <c r="N41" i="7"/>
  <c r="N43" i="7"/>
  <c r="N44" i="7"/>
  <c r="N45" i="7"/>
  <c r="N48" i="7"/>
  <c r="N49" i="7"/>
  <c r="N51" i="7"/>
  <c r="N52" i="7"/>
  <c r="N57" i="7"/>
  <c r="N58" i="7"/>
  <c r="N74" i="7"/>
  <c r="N75" i="7"/>
  <c r="N86" i="7"/>
  <c r="N87" i="7"/>
  <c r="N88" i="7"/>
  <c r="N110" i="7"/>
  <c r="N112" i="7"/>
  <c r="N137" i="7"/>
  <c r="N147" i="7"/>
  <c r="N148" i="7"/>
  <c r="N149" i="7"/>
  <c r="N152" i="7"/>
  <c r="N153" i="7"/>
  <c r="N154" i="7"/>
  <c r="N155" i="7"/>
  <c r="L8" i="7"/>
  <c r="L14" i="7"/>
  <c r="L15" i="7"/>
  <c r="L16" i="7"/>
  <c r="L17" i="7"/>
  <c r="L18" i="7"/>
  <c r="L19" i="7"/>
  <c r="L20" i="7"/>
  <c r="L21" i="7"/>
  <c r="L30" i="7"/>
  <c r="L33" i="7"/>
  <c r="L36" i="7"/>
  <c r="L38" i="7"/>
  <c r="L41" i="7"/>
  <c r="L43" i="7"/>
  <c r="L44" i="7"/>
  <c r="L45" i="7"/>
  <c r="L48" i="7"/>
  <c r="L49" i="7"/>
  <c r="L50" i="7"/>
  <c r="L51" i="7"/>
  <c r="L52" i="7"/>
  <c r="L57" i="7"/>
  <c r="L58" i="7"/>
  <c r="L74" i="7"/>
  <c r="L75" i="7"/>
  <c r="L86" i="7"/>
  <c r="L87" i="7"/>
  <c r="L88" i="7"/>
  <c r="L103" i="7"/>
  <c r="L110" i="7"/>
  <c r="L112" i="7"/>
  <c r="L115" i="7"/>
  <c r="L116" i="7"/>
  <c r="L137" i="7"/>
  <c r="L146" i="7"/>
  <c r="L147" i="7"/>
  <c r="L149" i="7"/>
  <c r="L150" i="7"/>
  <c r="L151" i="7"/>
  <c r="L152" i="7"/>
  <c r="L153" i="7"/>
  <c r="L154" i="7"/>
  <c r="L155" i="7"/>
  <c r="J10" i="7"/>
  <c r="J14" i="7"/>
  <c r="J15" i="7"/>
  <c r="J16" i="7"/>
  <c r="J17" i="7"/>
  <c r="J18" i="7"/>
  <c r="J19" i="7"/>
  <c r="J20" i="7"/>
  <c r="J21" i="7"/>
  <c r="J30" i="7"/>
  <c r="J33" i="7"/>
  <c r="J36" i="7"/>
  <c r="J38" i="7"/>
  <c r="J41" i="7"/>
  <c r="J43" i="7"/>
  <c r="J44" i="7"/>
  <c r="J45" i="7"/>
  <c r="J47" i="7"/>
  <c r="J48" i="7"/>
  <c r="J49" i="7"/>
  <c r="J50" i="7"/>
  <c r="J51" i="7"/>
  <c r="J52" i="7"/>
  <c r="J57" i="7"/>
  <c r="J58" i="7"/>
  <c r="J65" i="7"/>
  <c r="J74" i="7"/>
  <c r="J75" i="7"/>
  <c r="J78" i="7"/>
  <c r="J86" i="7"/>
  <c r="J87" i="7"/>
  <c r="J88" i="7"/>
  <c r="J93" i="7"/>
  <c r="J94" i="7"/>
  <c r="J103" i="7"/>
  <c r="J110" i="7"/>
  <c r="J112" i="7"/>
  <c r="J115" i="7"/>
  <c r="J116" i="7"/>
  <c r="J118" i="7"/>
  <c r="J137" i="7"/>
  <c r="J146" i="7"/>
  <c r="J147" i="7"/>
  <c r="J149" i="7"/>
  <c r="J150" i="7"/>
  <c r="J151" i="7"/>
  <c r="J152" i="7"/>
  <c r="J153" i="7"/>
  <c r="J154" i="7"/>
  <c r="J155" i="7"/>
  <c r="H8" i="7"/>
  <c r="H9" i="7"/>
  <c r="H10" i="7"/>
  <c r="H11" i="7"/>
  <c r="H14" i="7"/>
  <c r="H15" i="7"/>
  <c r="H16" i="7"/>
  <c r="H17" i="7"/>
  <c r="H18" i="7"/>
  <c r="H19" i="7"/>
  <c r="H20" i="7"/>
  <c r="H21" i="7"/>
  <c r="H30" i="7"/>
  <c r="H33" i="7"/>
  <c r="H36" i="7"/>
  <c r="H38" i="7"/>
  <c r="H41" i="7"/>
  <c r="H43" i="7"/>
  <c r="H44" i="7"/>
  <c r="H45" i="7"/>
  <c r="H46" i="7"/>
  <c r="H47" i="7"/>
  <c r="H48" i="7"/>
  <c r="H49" i="7"/>
  <c r="H50" i="7"/>
  <c r="H51" i="7"/>
  <c r="H52" i="7"/>
  <c r="H57" i="7"/>
  <c r="H58" i="7"/>
  <c r="H65" i="7"/>
  <c r="H74" i="7"/>
  <c r="H75" i="7"/>
  <c r="H86" i="7"/>
  <c r="H87" i="7"/>
  <c r="H88" i="7"/>
  <c r="H93" i="7"/>
  <c r="H94" i="7"/>
  <c r="H101" i="7"/>
  <c r="H103" i="7"/>
  <c r="H110" i="7"/>
  <c r="H112" i="7"/>
  <c r="H115" i="7"/>
  <c r="H116" i="7"/>
  <c r="H117" i="7"/>
  <c r="H118" i="7"/>
  <c r="H137" i="7"/>
  <c r="H146" i="7"/>
  <c r="H147" i="7"/>
  <c r="H149" i="7"/>
  <c r="H150" i="7"/>
  <c r="H151" i="7"/>
  <c r="H152" i="7"/>
  <c r="H153" i="7"/>
  <c r="H154" i="7"/>
  <c r="H155" i="7"/>
  <c r="F8" i="7"/>
  <c r="F9" i="7"/>
  <c r="F10" i="7"/>
  <c r="F11" i="7"/>
  <c r="F14" i="7"/>
  <c r="F15" i="7"/>
  <c r="F16" i="7"/>
  <c r="F17" i="7"/>
  <c r="F18" i="7"/>
  <c r="F19" i="7"/>
  <c r="F20" i="7"/>
  <c r="F21" i="7"/>
  <c r="F30" i="7"/>
  <c r="F33" i="7"/>
  <c r="F38" i="7"/>
  <c r="F43" i="7"/>
  <c r="F44" i="7"/>
  <c r="F45" i="7"/>
  <c r="F46" i="7"/>
  <c r="F47" i="7"/>
  <c r="F48" i="7"/>
  <c r="F49" i="7"/>
  <c r="F50" i="7"/>
  <c r="F51" i="7"/>
  <c r="F52" i="7"/>
  <c r="F57" i="7"/>
  <c r="F58" i="7"/>
  <c r="F64" i="7"/>
  <c r="F65" i="7"/>
  <c r="F74" i="7"/>
  <c r="F75" i="7"/>
  <c r="F86" i="7"/>
  <c r="F87" i="7"/>
  <c r="F88" i="7"/>
  <c r="F93" i="7"/>
  <c r="F94" i="7"/>
  <c r="F101" i="7"/>
  <c r="F103" i="7"/>
  <c r="F110" i="7"/>
  <c r="F112" i="7"/>
  <c r="F115" i="7"/>
  <c r="F116" i="7"/>
  <c r="F117" i="7"/>
  <c r="F118" i="7"/>
  <c r="F137" i="7"/>
  <c r="F146" i="7"/>
  <c r="F147" i="7"/>
  <c r="F149" i="7"/>
  <c r="F150" i="7"/>
  <c r="F151" i="7"/>
  <c r="F152" i="7"/>
  <c r="F153" i="7"/>
  <c r="F154" i="7"/>
  <c r="F155" i="7"/>
  <c r="D8" i="7"/>
  <c r="D9" i="7"/>
  <c r="D10" i="7"/>
  <c r="D11" i="7"/>
  <c r="D14" i="7"/>
  <c r="D15" i="7"/>
  <c r="D16" i="7"/>
  <c r="D17" i="7"/>
  <c r="D18" i="7"/>
  <c r="D19" i="7"/>
  <c r="D20" i="7"/>
  <c r="D21" i="7"/>
  <c r="D30" i="7"/>
  <c r="S30" i="7" s="1"/>
  <c r="D33" i="7"/>
  <c r="D38" i="7"/>
  <c r="D43" i="7"/>
  <c r="D44" i="7"/>
  <c r="D45" i="7"/>
  <c r="S45" i="7" s="1"/>
  <c r="D46" i="7"/>
  <c r="D47" i="7"/>
  <c r="D48" i="7"/>
  <c r="D49" i="7"/>
  <c r="D50" i="7"/>
  <c r="D51" i="7"/>
  <c r="S51" i="7" s="1"/>
  <c r="D52" i="7"/>
  <c r="D57" i="7"/>
  <c r="S57" i="7" s="1"/>
  <c r="D58" i="7"/>
  <c r="D64" i="7"/>
  <c r="D65" i="7"/>
  <c r="D73" i="7"/>
  <c r="D74" i="7"/>
  <c r="D75" i="7"/>
  <c r="S75" i="7" s="1"/>
  <c r="D76" i="7"/>
  <c r="D77" i="7"/>
  <c r="D78" i="7"/>
  <c r="D86" i="7"/>
  <c r="D87" i="7"/>
  <c r="S87" i="7" s="1"/>
  <c r="D88" i="7"/>
  <c r="D93" i="7"/>
  <c r="D94" i="7"/>
  <c r="D100" i="7"/>
  <c r="D101" i="7"/>
  <c r="D102" i="7"/>
  <c r="D103" i="7"/>
  <c r="D106" i="7"/>
  <c r="D108" i="7"/>
  <c r="D110" i="7"/>
  <c r="D112" i="7"/>
  <c r="D115" i="7"/>
  <c r="D116" i="7"/>
  <c r="D117" i="7"/>
  <c r="D118" i="7"/>
  <c r="D137" i="7"/>
  <c r="D143" i="7"/>
  <c r="D146" i="7"/>
  <c r="D147" i="7"/>
  <c r="D149" i="7"/>
  <c r="D150" i="7"/>
  <c r="D151" i="7"/>
  <c r="D152" i="7"/>
  <c r="D153" i="7"/>
  <c r="D154" i="7"/>
  <c r="D155" i="7"/>
  <c r="O151" i="7"/>
  <c r="M150" i="7"/>
  <c r="T148" i="7"/>
  <c r="Q148" i="7"/>
  <c r="P148" i="7" s="1"/>
  <c r="K148" i="7"/>
  <c r="I148" i="7"/>
  <c r="G148" i="7"/>
  <c r="E148" i="7"/>
  <c r="C148" i="7"/>
  <c r="Q147" i="7"/>
  <c r="O146" i="7"/>
  <c r="N146" i="7" s="1"/>
  <c r="E145" i="7"/>
  <c r="C144" i="7"/>
  <c r="E143" i="7"/>
  <c r="G143" i="7" s="1"/>
  <c r="F143" i="7" s="1"/>
  <c r="E142" i="7"/>
  <c r="D142" i="7" s="1"/>
  <c r="C142" i="7"/>
  <c r="E141" i="7"/>
  <c r="G141" i="7" s="1"/>
  <c r="F141" i="7" s="1"/>
  <c r="C140" i="7"/>
  <c r="E139" i="7"/>
  <c r="C138" i="7"/>
  <c r="T136" i="7"/>
  <c r="Q136" i="7"/>
  <c r="P136" i="7" s="1"/>
  <c r="M136" i="7"/>
  <c r="K136" i="7"/>
  <c r="I136" i="7"/>
  <c r="G136" i="7"/>
  <c r="E136" i="7"/>
  <c r="F136" i="7" s="1"/>
  <c r="C136" i="7"/>
  <c r="E135" i="7"/>
  <c r="G135" i="7" s="1"/>
  <c r="F135" i="7" s="1"/>
  <c r="C134" i="7"/>
  <c r="M133" i="7"/>
  <c r="L133" i="7" s="1"/>
  <c r="I133" i="7"/>
  <c r="I132" i="7" s="1"/>
  <c r="E133" i="7"/>
  <c r="E132" i="7" s="1"/>
  <c r="T132" i="7"/>
  <c r="Q132" i="7"/>
  <c r="P132" i="7" s="1"/>
  <c r="M132" i="7"/>
  <c r="K132" i="7"/>
  <c r="G132" i="7"/>
  <c r="C132" i="7"/>
  <c r="E131" i="7"/>
  <c r="D131" i="7" s="1"/>
  <c r="C130" i="7"/>
  <c r="G129" i="7"/>
  <c r="F129" i="7" s="1"/>
  <c r="E129" i="7"/>
  <c r="E128" i="7" s="1"/>
  <c r="C128" i="7"/>
  <c r="E127" i="7"/>
  <c r="D127" i="7" s="1"/>
  <c r="C126" i="7"/>
  <c r="C125" i="7"/>
  <c r="E125" i="7" s="1"/>
  <c r="C124" i="7"/>
  <c r="C122" i="7"/>
  <c r="E122" i="7" s="1"/>
  <c r="E120" i="7"/>
  <c r="D120" i="7" s="1"/>
  <c r="C119" i="7"/>
  <c r="M118" i="7"/>
  <c r="T117" i="7"/>
  <c r="Q117" i="7"/>
  <c r="R117" i="7" s="1"/>
  <c r="K117" i="7"/>
  <c r="O116" i="7"/>
  <c r="M115" i="7"/>
  <c r="E114" i="7"/>
  <c r="G114" i="7" s="1"/>
  <c r="F114" i="7" s="1"/>
  <c r="C113" i="7"/>
  <c r="Q111" i="7"/>
  <c r="M111" i="7"/>
  <c r="K111" i="7"/>
  <c r="I111" i="7"/>
  <c r="G111" i="7"/>
  <c r="E111" i="7"/>
  <c r="C111" i="7"/>
  <c r="T109" i="7"/>
  <c r="Q109" i="7"/>
  <c r="P109" i="7" s="1"/>
  <c r="M109" i="7"/>
  <c r="K109" i="7"/>
  <c r="I109" i="7"/>
  <c r="G109" i="7"/>
  <c r="E109" i="7"/>
  <c r="C109" i="7"/>
  <c r="G108" i="7"/>
  <c r="I108" i="7" s="1"/>
  <c r="H108" i="7" s="1"/>
  <c r="E107" i="7"/>
  <c r="C107" i="7"/>
  <c r="G106" i="7"/>
  <c r="E105" i="7"/>
  <c r="C105" i="7"/>
  <c r="O103" i="7"/>
  <c r="T102" i="7"/>
  <c r="M102" i="7"/>
  <c r="L102" i="7" s="1"/>
  <c r="K102" i="7"/>
  <c r="I102" i="7"/>
  <c r="H102" i="7" s="1"/>
  <c r="G102" i="7"/>
  <c r="F102" i="7" s="1"/>
  <c r="K101" i="7"/>
  <c r="K100" i="7" s="1"/>
  <c r="I100" i="7"/>
  <c r="G100" i="7"/>
  <c r="F100" i="7" s="1"/>
  <c r="E100" i="7"/>
  <c r="E99" i="7" s="1"/>
  <c r="C100" i="7"/>
  <c r="C99" i="7" s="1"/>
  <c r="E96" i="7"/>
  <c r="G96" i="7" s="1"/>
  <c r="F96" i="7" s="1"/>
  <c r="C95" i="7"/>
  <c r="C92" i="7" s="1"/>
  <c r="M94" i="7"/>
  <c r="L94" i="7" s="1"/>
  <c r="T93" i="7"/>
  <c r="R93" i="7" s="1"/>
  <c r="O93" i="7"/>
  <c r="M93" i="7"/>
  <c r="L93" i="7" s="1"/>
  <c r="E91" i="7"/>
  <c r="D91" i="7" s="1"/>
  <c r="C90" i="7"/>
  <c r="T87" i="7"/>
  <c r="R87" i="7" s="1"/>
  <c r="T86" i="7"/>
  <c r="R86" i="7" s="1"/>
  <c r="E85" i="7"/>
  <c r="D85" i="7" s="1"/>
  <c r="C84" i="7"/>
  <c r="E82" i="7"/>
  <c r="G82" i="7" s="1"/>
  <c r="G81" i="7" s="1"/>
  <c r="C81" i="7"/>
  <c r="C80" i="7" s="1"/>
  <c r="M78" i="7"/>
  <c r="G78" i="7"/>
  <c r="T77" i="7"/>
  <c r="Q77" i="7"/>
  <c r="P77" i="7" s="1"/>
  <c r="M77" i="7"/>
  <c r="O77" i="7" s="1"/>
  <c r="N77" i="7" s="1"/>
  <c r="K77" i="7"/>
  <c r="J77" i="7" s="1"/>
  <c r="I77" i="7"/>
  <c r="T76" i="7"/>
  <c r="Q76" i="7"/>
  <c r="K76" i="7"/>
  <c r="J76" i="7" s="1"/>
  <c r="I76" i="7"/>
  <c r="G76" i="7"/>
  <c r="F76" i="7" s="1"/>
  <c r="Q73" i="7"/>
  <c r="K73" i="7"/>
  <c r="M73" i="7" s="1"/>
  <c r="O73" i="7" s="1"/>
  <c r="N73" i="7" s="1"/>
  <c r="I73" i="7"/>
  <c r="G73" i="7"/>
  <c r="F73" i="7" s="1"/>
  <c r="E72" i="7"/>
  <c r="G72" i="7" s="1"/>
  <c r="I72" i="7" s="1"/>
  <c r="E71" i="7"/>
  <c r="G71" i="7" s="1"/>
  <c r="F71" i="7" s="1"/>
  <c r="C70" i="7"/>
  <c r="E69" i="7"/>
  <c r="G69" i="7" s="1"/>
  <c r="I69" i="7" s="1"/>
  <c r="E68" i="7"/>
  <c r="G68" i="7" s="1"/>
  <c r="F68" i="7" s="1"/>
  <c r="M65" i="7"/>
  <c r="K64" i="7"/>
  <c r="I64" i="7"/>
  <c r="H64" i="7" s="1"/>
  <c r="E63" i="7"/>
  <c r="C62" i="7"/>
  <c r="C61" i="7" s="1"/>
  <c r="E60" i="7"/>
  <c r="D60" i="7" s="1"/>
  <c r="C59" i="7"/>
  <c r="E56" i="7"/>
  <c r="C55" i="7"/>
  <c r="C54" i="7"/>
  <c r="C53" i="7" s="1"/>
  <c r="O50" i="7"/>
  <c r="M47" i="7"/>
  <c r="L47" i="7" s="1"/>
  <c r="K46" i="7"/>
  <c r="J46" i="7" s="1"/>
  <c r="E42" i="7"/>
  <c r="G42" i="7" s="1"/>
  <c r="I42" i="7" s="1"/>
  <c r="K42" i="7" s="1"/>
  <c r="M42" i="7" s="1"/>
  <c r="O42" i="7" s="1"/>
  <c r="E41" i="7"/>
  <c r="D41" i="7" s="1"/>
  <c r="E40" i="7"/>
  <c r="C39" i="7"/>
  <c r="E37" i="7"/>
  <c r="G37" i="7" s="1"/>
  <c r="F37" i="7" s="1"/>
  <c r="E36" i="7"/>
  <c r="F36" i="7" s="1"/>
  <c r="E35" i="7"/>
  <c r="C34" i="7"/>
  <c r="C31" i="7" s="1"/>
  <c r="E32" i="7"/>
  <c r="G32" i="7" s="1"/>
  <c r="F32" i="7" s="1"/>
  <c r="E29" i="7"/>
  <c r="D29" i="7" s="1"/>
  <c r="E28" i="7"/>
  <c r="E27" i="7"/>
  <c r="G27" i="7" s="1"/>
  <c r="E26" i="7"/>
  <c r="G26" i="7" s="1"/>
  <c r="I26" i="7" s="1"/>
  <c r="E25" i="7"/>
  <c r="E24" i="7"/>
  <c r="G24" i="7" s="1"/>
  <c r="I24" i="7" s="1"/>
  <c r="H24" i="7" s="1"/>
  <c r="E23" i="7"/>
  <c r="G23" i="7" s="1"/>
  <c r="I23" i="7" s="1"/>
  <c r="K23" i="7" s="1"/>
  <c r="M23" i="7" s="1"/>
  <c r="L23" i="7" s="1"/>
  <c r="C22" i="7"/>
  <c r="E13" i="7"/>
  <c r="C12" i="7"/>
  <c r="K11" i="7"/>
  <c r="K10" i="7"/>
  <c r="L10" i="7" s="1"/>
  <c r="K9" i="7"/>
  <c r="K8" i="7"/>
  <c r="J8" i="7" s="1"/>
  <c r="E7" i="7"/>
  <c r="G7" i="7" s="1"/>
  <c r="F7" i="7" s="1"/>
  <c r="C6" i="7"/>
  <c r="D69" i="7" l="1"/>
  <c r="S38" i="7"/>
  <c r="E134" i="7"/>
  <c r="S153" i="7"/>
  <c r="S149" i="7"/>
  <c r="S52" i="7"/>
  <c r="D37" i="7"/>
  <c r="D27" i="7"/>
  <c r="F24" i="7"/>
  <c r="H133" i="7"/>
  <c r="J101" i="7"/>
  <c r="L42" i="7"/>
  <c r="D135" i="7"/>
  <c r="S74" i="7"/>
  <c r="D23" i="7"/>
  <c r="S18" i="7"/>
  <c r="S14" i="7"/>
  <c r="S43" i="7"/>
  <c r="F23" i="7"/>
  <c r="L73" i="7"/>
  <c r="D99" i="7"/>
  <c r="J111" i="7"/>
  <c r="E113" i="7"/>
  <c r="D113" i="7" s="1"/>
  <c r="D148" i="7"/>
  <c r="D129" i="7"/>
  <c r="D42" i="7"/>
  <c r="D32" i="7"/>
  <c r="S21" i="7"/>
  <c r="S17" i="7"/>
  <c r="F108" i="7"/>
  <c r="F42" i="7"/>
  <c r="H42" i="7"/>
  <c r="L77" i="7"/>
  <c r="G28" i="7"/>
  <c r="D28" i="7"/>
  <c r="G35" i="7"/>
  <c r="D35" i="7"/>
  <c r="G56" i="7"/>
  <c r="D56" i="7"/>
  <c r="E62" i="7"/>
  <c r="E61" i="7" s="1"/>
  <c r="D61" i="7" s="1"/>
  <c r="D63" i="7"/>
  <c r="K72" i="7"/>
  <c r="H72" i="7"/>
  <c r="L9" i="7"/>
  <c r="S9" i="7" s="1"/>
  <c r="J9" i="7"/>
  <c r="G13" i="7"/>
  <c r="F13" i="7" s="1"/>
  <c r="D13" i="7"/>
  <c r="G25" i="7"/>
  <c r="D25" i="7"/>
  <c r="T73" i="7"/>
  <c r="R73" i="7" s="1"/>
  <c r="R76" i="7"/>
  <c r="G139" i="7"/>
  <c r="F139" i="7" s="1"/>
  <c r="D139" i="7"/>
  <c r="H73" i="7"/>
  <c r="H76" i="7"/>
  <c r="R77" i="7"/>
  <c r="G122" i="7"/>
  <c r="F122" i="7" s="1"/>
  <c r="D122" i="7"/>
  <c r="E121" i="7"/>
  <c r="S137" i="7"/>
  <c r="S86" i="7"/>
  <c r="F72" i="7"/>
  <c r="I27" i="7"/>
  <c r="F27" i="7"/>
  <c r="M64" i="7"/>
  <c r="L65" i="7"/>
  <c r="O65" i="7"/>
  <c r="N118" i="7"/>
  <c r="L118" i="7"/>
  <c r="S118" i="7" s="1"/>
  <c r="O150" i="7"/>
  <c r="N150" i="7" s="1"/>
  <c r="Q151" i="7"/>
  <c r="P151" i="7" s="1"/>
  <c r="N151" i="7"/>
  <c r="S110" i="7"/>
  <c r="S19" i="7"/>
  <c r="G40" i="7"/>
  <c r="F40" i="7" s="1"/>
  <c r="D40" i="7"/>
  <c r="I106" i="7"/>
  <c r="F106" i="7"/>
  <c r="J117" i="7"/>
  <c r="M117" i="7"/>
  <c r="E124" i="7"/>
  <c r="D124" i="7" s="1"/>
  <c r="D125" i="7"/>
  <c r="G145" i="7"/>
  <c r="F145" i="7" s="1"/>
  <c r="D145" i="7"/>
  <c r="E144" i="7"/>
  <c r="D144" i="7" s="1"/>
  <c r="J102" i="7"/>
  <c r="R148" i="7"/>
  <c r="S152" i="7"/>
  <c r="D114" i="7"/>
  <c r="D36" i="7"/>
  <c r="S36" i="7" s="1"/>
  <c r="D26" i="7"/>
  <c r="L11" i="7"/>
  <c r="J11" i="7"/>
  <c r="S11" i="7" s="1"/>
  <c r="Q42" i="7"/>
  <c r="N42" i="7"/>
  <c r="G77" i="7"/>
  <c r="F77" i="7" s="1"/>
  <c r="H78" i="7"/>
  <c r="D107" i="7"/>
  <c r="F109" i="7"/>
  <c r="F111" i="7"/>
  <c r="H132" i="7"/>
  <c r="H136" i="7"/>
  <c r="R136" i="7"/>
  <c r="T147" i="7"/>
  <c r="R147" i="7" s="1"/>
  <c r="P147" i="7"/>
  <c r="S147" i="7" s="1"/>
  <c r="D141" i="7"/>
  <c r="D133" i="7"/>
  <c r="S112" i="7"/>
  <c r="D72" i="7"/>
  <c r="D68" i="7"/>
  <c r="S48" i="7"/>
  <c r="S44" i="7"/>
  <c r="S20" i="7"/>
  <c r="S16" i="7"/>
  <c r="D7" i="7"/>
  <c r="F78" i="7"/>
  <c r="F69" i="7"/>
  <c r="F41" i="7"/>
  <c r="S41" i="7" s="1"/>
  <c r="F26" i="7"/>
  <c r="J133" i="7"/>
  <c r="J42" i="7"/>
  <c r="J23" i="7"/>
  <c r="N94" i="7"/>
  <c r="S94" i="7" s="1"/>
  <c r="K26" i="7"/>
  <c r="H26" i="7"/>
  <c r="P50" i="7"/>
  <c r="N50" i="7"/>
  <c r="N93" i="7"/>
  <c r="P93" i="7"/>
  <c r="Q103" i="7"/>
  <c r="N103" i="7"/>
  <c r="D109" i="7"/>
  <c r="D111" i="7"/>
  <c r="D134" i="7"/>
  <c r="F148" i="7"/>
  <c r="S93" i="7"/>
  <c r="S49" i="7"/>
  <c r="S8" i="7"/>
  <c r="F82" i="7"/>
  <c r="K69" i="7"/>
  <c r="H69" i="7"/>
  <c r="P73" i="7"/>
  <c r="O78" i="7"/>
  <c r="L78" i="7"/>
  <c r="O102" i="7"/>
  <c r="N102" i="7" s="1"/>
  <c r="D105" i="7"/>
  <c r="H109" i="7"/>
  <c r="R109" i="7"/>
  <c r="O115" i="7"/>
  <c r="N116" i="7"/>
  <c r="S116" i="7" s="1"/>
  <c r="P116" i="7"/>
  <c r="S154" i="7"/>
  <c r="D96" i="7"/>
  <c r="S88" i="7"/>
  <c r="D82" i="7"/>
  <c r="D71" i="7"/>
  <c r="S58" i="7"/>
  <c r="S33" i="7"/>
  <c r="D24" i="7"/>
  <c r="S15" i="7"/>
  <c r="S10" i="7"/>
  <c r="F133" i="7"/>
  <c r="H23" i="7"/>
  <c r="J73" i="7"/>
  <c r="N133" i="7"/>
  <c r="N136" i="7"/>
  <c r="L136" i="7"/>
  <c r="G80" i="7"/>
  <c r="H100" i="7"/>
  <c r="J109" i="7"/>
  <c r="H111" i="7"/>
  <c r="D128" i="7"/>
  <c r="R132" i="7"/>
  <c r="H148" i="7"/>
  <c r="R111" i="7"/>
  <c r="P111" i="7"/>
  <c r="N109" i="7"/>
  <c r="L109" i="7"/>
  <c r="J132" i="7"/>
  <c r="L148" i="7"/>
  <c r="J148" i="7"/>
  <c r="L64" i="7"/>
  <c r="J64" i="7"/>
  <c r="K99" i="7"/>
  <c r="J100" i="7"/>
  <c r="N111" i="7"/>
  <c r="L111" i="7"/>
  <c r="N132" i="7"/>
  <c r="L132" i="7"/>
  <c r="D132" i="7"/>
  <c r="J136" i="7"/>
  <c r="D136" i="7"/>
  <c r="F132" i="7"/>
  <c r="I99" i="7"/>
  <c r="H99" i="7" s="1"/>
  <c r="G99" i="7"/>
  <c r="F99" i="7" s="1"/>
  <c r="G107" i="7"/>
  <c r="F107" i="7" s="1"/>
  <c r="E140" i="7"/>
  <c r="D140" i="7" s="1"/>
  <c r="G63" i="7"/>
  <c r="C123" i="7"/>
  <c r="I107" i="7"/>
  <c r="K108" i="7"/>
  <c r="E95" i="7"/>
  <c r="E138" i="7"/>
  <c r="D138" i="7" s="1"/>
  <c r="Q146" i="7"/>
  <c r="P146" i="7" s="1"/>
  <c r="E22" i="7"/>
  <c r="D22" i="7" s="1"/>
  <c r="E54" i="7"/>
  <c r="M76" i="7"/>
  <c r="C83" i="7"/>
  <c r="C79" i="7" s="1"/>
  <c r="C89" i="7"/>
  <c r="C121" i="7"/>
  <c r="D121" i="7" s="1"/>
  <c r="G125" i="7"/>
  <c r="F125" i="7" s="1"/>
  <c r="E55" i="7"/>
  <c r="D55" i="7" s="1"/>
  <c r="E81" i="7"/>
  <c r="I82" i="7"/>
  <c r="H82" i="7" s="1"/>
  <c r="G105" i="7"/>
  <c r="F105" i="7" s="1"/>
  <c r="I7" i="7"/>
  <c r="H7" i="7" s="1"/>
  <c r="G6" i="7"/>
  <c r="I13" i="7"/>
  <c r="H13" i="7" s="1"/>
  <c r="G12" i="7"/>
  <c r="O23" i="7"/>
  <c r="N23" i="7" s="1"/>
  <c r="I32" i="7"/>
  <c r="H32" i="7" s="1"/>
  <c r="I37" i="7"/>
  <c r="I68" i="7"/>
  <c r="H68" i="7" s="1"/>
  <c r="K24" i="7"/>
  <c r="J24" i="7" s="1"/>
  <c r="O47" i="7"/>
  <c r="N47" i="7" s="1"/>
  <c r="M46" i="7"/>
  <c r="L46" i="7" s="1"/>
  <c r="I71" i="7"/>
  <c r="H71" i="7" s="1"/>
  <c r="G70" i="7"/>
  <c r="G29" i="7"/>
  <c r="F29" i="7" s="1"/>
  <c r="I40" i="7"/>
  <c r="H40" i="7" s="1"/>
  <c r="I129" i="7"/>
  <c r="H129" i="7" s="1"/>
  <c r="G128" i="7"/>
  <c r="F128" i="7" s="1"/>
  <c r="E6" i="7"/>
  <c r="D6" i="7" s="1"/>
  <c r="E34" i="7"/>
  <c r="C67" i="7"/>
  <c r="C66" i="7" s="1"/>
  <c r="E70" i="7"/>
  <c r="G91" i="7"/>
  <c r="F91" i="7" s="1"/>
  <c r="E90" i="7"/>
  <c r="I114" i="7"/>
  <c r="H114" i="7" s="1"/>
  <c r="G113" i="7"/>
  <c r="F113" i="7" s="1"/>
  <c r="I81" i="7"/>
  <c r="G85" i="7"/>
  <c r="F85" i="7" s="1"/>
  <c r="E84" i="7"/>
  <c r="I96" i="7"/>
  <c r="H96" i="7" s="1"/>
  <c r="G95" i="7"/>
  <c r="E12" i="7"/>
  <c r="D12" i="7" s="1"/>
  <c r="E39" i="7"/>
  <c r="D39" i="7" s="1"/>
  <c r="G55" i="7"/>
  <c r="Q65" i="7"/>
  <c r="P65" i="7" s="1"/>
  <c r="G120" i="7"/>
  <c r="F120" i="7" s="1"/>
  <c r="E119" i="7"/>
  <c r="G127" i="7"/>
  <c r="F127" i="7" s="1"/>
  <c r="E126" i="7"/>
  <c r="D126" i="7" s="1"/>
  <c r="I143" i="7"/>
  <c r="G142" i="7"/>
  <c r="T151" i="7"/>
  <c r="R151" i="7" s="1"/>
  <c r="S151" i="7" s="1"/>
  <c r="G60" i="7"/>
  <c r="F60" i="7" s="1"/>
  <c r="E59" i="7"/>
  <c r="D59" i="7" s="1"/>
  <c r="M101" i="7"/>
  <c r="L101" i="7" s="1"/>
  <c r="I122" i="7"/>
  <c r="H122" i="7" s="1"/>
  <c r="G121" i="7"/>
  <c r="F121" i="7" s="1"/>
  <c r="I135" i="7"/>
  <c r="H135" i="7" s="1"/>
  <c r="G134" i="7"/>
  <c r="F134" i="7" s="1"/>
  <c r="T146" i="7"/>
  <c r="G131" i="7"/>
  <c r="F131" i="7" s="1"/>
  <c r="E130" i="7"/>
  <c r="D130" i="7" s="1"/>
  <c r="I141" i="7"/>
  <c r="H141" i="7" s="1"/>
  <c r="G140" i="7"/>
  <c r="I145" i="7"/>
  <c r="H145" i="7" s="1"/>
  <c r="G144" i="7"/>
  <c r="S148" i="7" l="1"/>
  <c r="S50" i="7"/>
  <c r="S132" i="7"/>
  <c r="S73" i="7"/>
  <c r="R146" i="7"/>
  <c r="S146" i="7" s="1"/>
  <c r="Q150" i="7"/>
  <c r="P150" i="7" s="1"/>
  <c r="I139" i="7"/>
  <c r="H139" i="7" s="1"/>
  <c r="K143" i="7"/>
  <c r="J143" i="7" s="1"/>
  <c r="H143" i="7"/>
  <c r="O76" i="7"/>
  <c r="L76" i="7"/>
  <c r="Q102" i="7"/>
  <c r="R103" i="7"/>
  <c r="S103" i="7" s="1"/>
  <c r="P103" i="7"/>
  <c r="O117" i="7"/>
  <c r="L117" i="7"/>
  <c r="K106" i="7"/>
  <c r="H106" i="7"/>
  <c r="I35" i="7"/>
  <c r="I34" i="7" s="1"/>
  <c r="F35" i="7"/>
  <c r="F55" i="7"/>
  <c r="K82" i="7"/>
  <c r="J82" i="7" s="1"/>
  <c r="G34" i="7"/>
  <c r="G31" i="7" s="1"/>
  <c r="F31" i="7" s="1"/>
  <c r="I105" i="7"/>
  <c r="H105" i="7" s="1"/>
  <c r="S136" i="7"/>
  <c r="D62" i="7"/>
  <c r="S109" i="7"/>
  <c r="M26" i="7"/>
  <c r="J26" i="7"/>
  <c r="S133" i="7"/>
  <c r="F12" i="7"/>
  <c r="M108" i="7"/>
  <c r="L108" i="7" s="1"/>
  <c r="J108" i="7"/>
  <c r="I25" i="7"/>
  <c r="F25" i="7"/>
  <c r="P115" i="7"/>
  <c r="N115" i="7"/>
  <c r="S111" i="7"/>
  <c r="T42" i="7"/>
  <c r="R42" i="7" s="1"/>
  <c r="P42" i="7"/>
  <c r="F144" i="7"/>
  <c r="I142" i="7"/>
  <c r="H142" i="7" s="1"/>
  <c r="F142" i="7"/>
  <c r="E67" i="7"/>
  <c r="E66" i="7" s="1"/>
  <c r="D66" i="7" s="1"/>
  <c r="D70" i="7"/>
  <c r="G138" i="7"/>
  <c r="F138" i="7" s="1"/>
  <c r="G39" i="7"/>
  <c r="F39" i="7" s="1"/>
  <c r="K37" i="7"/>
  <c r="H37" i="7"/>
  <c r="I63" i="7"/>
  <c r="F63" i="7"/>
  <c r="P78" i="7"/>
  <c r="S78" i="7" s="1"/>
  <c r="N78" i="7"/>
  <c r="M69" i="7"/>
  <c r="J69" i="7"/>
  <c r="O64" i="7"/>
  <c r="N64" i="7" s="1"/>
  <c r="N65" i="7"/>
  <c r="K27" i="7"/>
  <c r="H27" i="7"/>
  <c r="H77" i="7"/>
  <c r="S77" i="7" s="1"/>
  <c r="M72" i="7"/>
  <c r="J72" i="7"/>
  <c r="I56" i="7"/>
  <c r="F56" i="7"/>
  <c r="I28" i="7"/>
  <c r="F28" i="7"/>
  <c r="E104" i="7"/>
  <c r="D119" i="7"/>
  <c r="E31" i="7"/>
  <c r="D31" i="7" s="1"/>
  <c r="D34" i="7"/>
  <c r="G67" i="7"/>
  <c r="F70" i="7"/>
  <c r="E53" i="7"/>
  <c r="D53" i="7" s="1"/>
  <c r="D54" i="7"/>
  <c r="F140" i="7"/>
  <c r="F6" i="7"/>
  <c r="E92" i="7"/>
  <c r="D92" i="7" s="1"/>
  <c r="D95" i="7"/>
  <c r="H107" i="7"/>
  <c r="E83" i="7"/>
  <c r="D83" i="7" s="1"/>
  <c r="D84" i="7"/>
  <c r="G92" i="7"/>
  <c r="F95" i="7"/>
  <c r="I80" i="7"/>
  <c r="H80" i="7" s="1"/>
  <c r="H81" i="7"/>
  <c r="E89" i="7"/>
  <c r="D89" i="7" s="1"/>
  <c r="D90" i="7"/>
  <c r="E80" i="7"/>
  <c r="D80" i="7" s="1"/>
  <c r="D81" i="7"/>
  <c r="F81" i="7"/>
  <c r="J99" i="7"/>
  <c r="K107" i="7"/>
  <c r="J107" i="7" s="1"/>
  <c r="G62" i="7"/>
  <c r="C104" i="7"/>
  <c r="C98" i="7" s="1"/>
  <c r="C97" i="7" s="1"/>
  <c r="E123" i="7"/>
  <c r="I125" i="7"/>
  <c r="H125" i="7" s="1"/>
  <c r="G124" i="7"/>
  <c r="F124" i="7" s="1"/>
  <c r="C5" i="7"/>
  <c r="M82" i="7"/>
  <c r="L82" i="7" s="1"/>
  <c r="K81" i="7"/>
  <c r="K129" i="7"/>
  <c r="J129" i="7" s="1"/>
  <c r="I128" i="7"/>
  <c r="H128" i="7" s="1"/>
  <c r="K40" i="7"/>
  <c r="J40" i="7" s="1"/>
  <c r="I39" i="7"/>
  <c r="K68" i="7"/>
  <c r="J68" i="7" s="1"/>
  <c r="K7" i="7"/>
  <c r="J7" i="7" s="1"/>
  <c r="I6" i="7"/>
  <c r="H6" i="7" s="1"/>
  <c r="I140" i="7"/>
  <c r="H140" i="7" s="1"/>
  <c r="K141" i="7"/>
  <c r="J141" i="7" s="1"/>
  <c r="I60" i="7"/>
  <c r="H60" i="7" s="1"/>
  <c r="G59" i="7"/>
  <c r="I120" i="7"/>
  <c r="H120" i="7" s="1"/>
  <c r="G119" i="7"/>
  <c r="I70" i="7"/>
  <c r="K71" i="7"/>
  <c r="J71" i="7" s="1"/>
  <c r="O101" i="7"/>
  <c r="N101" i="7" s="1"/>
  <c r="M100" i="7"/>
  <c r="K96" i="7"/>
  <c r="J96" i="7" s="1"/>
  <c r="I95" i="7"/>
  <c r="I131" i="7"/>
  <c r="H131" i="7" s="1"/>
  <c r="G130" i="7"/>
  <c r="F130" i="7" s="1"/>
  <c r="T150" i="7"/>
  <c r="R150" i="7" s="1"/>
  <c r="S150" i="7" s="1"/>
  <c r="T65" i="7"/>
  <c r="R65" i="7" s="1"/>
  <c r="Q64" i="7"/>
  <c r="I85" i="7"/>
  <c r="H85" i="7" s="1"/>
  <c r="G84" i="7"/>
  <c r="K114" i="7"/>
  <c r="J114" i="7" s="1"/>
  <c r="I113" i="7"/>
  <c r="H113" i="7" s="1"/>
  <c r="G90" i="7"/>
  <c r="I91" i="7"/>
  <c r="H91" i="7" s="1"/>
  <c r="O108" i="7"/>
  <c r="N108" i="7" s="1"/>
  <c r="M107" i="7"/>
  <c r="G22" i="7"/>
  <c r="F22" i="7" s="1"/>
  <c r="I29" i="7"/>
  <c r="H29" i="7" s="1"/>
  <c r="M24" i="7"/>
  <c r="L24" i="7" s="1"/>
  <c r="K13" i="7"/>
  <c r="J13" i="7" s="1"/>
  <c r="I12" i="7"/>
  <c r="H12" i="7" s="1"/>
  <c r="I144" i="7"/>
  <c r="H144" i="7" s="1"/>
  <c r="K145" i="7"/>
  <c r="J145" i="7" s="1"/>
  <c r="K135" i="7"/>
  <c r="J135" i="7" s="1"/>
  <c r="I134" i="7"/>
  <c r="H134" i="7" s="1"/>
  <c r="I121" i="7"/>
  <c r="H121" i="7" s="1"/>
  <c r="K122" i="7"/>
  <c r="J122" i="7" s="1"/>
  <c r="M143" i="7"/>
  <c r="L143" i="7" s="1"/>
  <c r="G126" i="7"/>
  <c r="F126" i="7" s="1"/>
  <c r="I127" i="7"/>
  <c r="H127" i="7" s="1"/>
  <c r="Q47" i="7"/>
  <c r="P47" i="7" s="1"/>
  <c r="O46" i="7"/>
  <c r="N46" i="7" s="1"/>
  <c r="K32" i="7"/>
  <c r="J32" i="7" s="1"/>
  <c r="Q23" i="7"/>
  <c r="I138" i="7" l="1"/>
  <c r="H39" i="7"/>
  <c r="K139" i="7"/>
  <c r="J139" i="7" s="1"/>
  <c r="S65" i="7"/>
  <c r="S42" i="7"/>
  <c r="D104" i="7"/>
  <c r="K25" i="7"/>
  <c r="H25" i="7"/>
  <c r="M37" i="7"/>
  <c r="J37" i="7"/>
  <c r="J106" i="7"/>
  <c r="M106" i="7"/>
  <c r="K105" i="7"/>
  <c r="J105" i="7" s="1"/>
  <c r="P102" i="7"/>
  <c r="R102" i="7"/>
  <c r="H138" i="7"/>
  <c r="P64" i="7"/>
  <c r="D67" i="7"/>
  <c r="F34" i="7"/>
  <c r="K28" i="7"/>
  <c r="H28" i="7"/>
  <c r="O72" i="7"/>
  <c r="L72" i="7"/>
  <c r="O69" i="7"/>
  <c r="L69" i="7"/>
  <c r="K63" i="7"/>
  <c r="H63" i="7"/>
  <c r="I62" i="7"/>
  <c r="O26" i="7"/>
  <c r="L26" i="7"/>
  <c r="H35" i="7"/>
  <c r="K35" i="7"/>
  <c r="N76" i="7"/>
  <c r="P76" i="7"/>
  <c r="H56" i="7"/>
  <c r="K56" i="7"/>
  <c r="I55" i="7"/>
  <c r="H55" i="7" s="1"/>
  <c r="T23" i="7"/>
  <c r="R23" i="7" s="1"/>
  <c r="P23" i="7"/>
  <c r="S23" i="7" s="1"/>
  <c r="M99" i="7"/>
  <c r="L99" i="7" s="1"/>
  <c r="L100" i="7"/>
  <c r="F92" i="7"/>
  <c r="K142" i="7"/>
  <c r="J142" i="7" s="1"/>
  <c r="M27" i="7"/>
  <c r="J27" i="7"/>
  <c r="S115" i="7"/>
  <c r="N117" i="7"/>
  <c r="S117" i="7" s="1"/>
  <c r="P117" i="7"/>
  <c r="I67" i="7"/>
  <c r="H70" i="7"/>
  <c r="E98" i="7"/>
  <c r="D123" i="7"/>
  <c r="G54" i="7"/>
  <c r="F54" i="7" s="1"/>
  <c r="F59" i="7"/>
  <c r="E79" i="7"/>
  <c r="F80" i="7"/>
  <c r="G89" i="7"/>
  <c r="F89" i="7" s="1"/>
  <c r="F90" i="7"/>
  <c r="K80" i="7"/>
  <c r="J81" i="7"/>
  <c r="I31" i="7"/>
  <c r="H31" i="7" s="1"/>
  <c r="H34" i="7"/>
  <c r="L107" i="7"/>
  <c r="G83" i="7"/>
  <c r="F84" i="7"/>
  <c r="I92" i="7"/>
  <c r="H92" i="7" s="1"/>
  <c r="H95" i="7"/>
  <c r="G104" i="7"/>
  <c r="F104" i="7" s="1"/>
  <c r="F119" i="7"/>
  <c r="G61" i="7"/>
  <c r="F61" i="7" s="1"/>
  <c r="F62" i="7"/>
  <c r="G66" i="7"/>
  <c r="F66" i="7" s="1"/>
  <c r="F67" i="7"/>
  <c r="C4" i="7"/>
  <c r="G123" i="7"/>
  <c r="K125" i="7"/>
  <c r="J125" i="7" s="1"/>
  <c r="I124" i="7"/>
  <c r="H124" i="7" s="1"/>
  <c r="O24" i="7"/>
  <c r="N24" i="7" s="1"/>
  <c r="Q108" i="7"/>
  <c r="P108" i="7" s="1"/>
  <c r="O107" i="7"/>
  <c r="N107" i="7" s="1"/>
  <c r="K85" i="7"/>
  <c r="J85" i="7" s="1"/>
  <c r="I84" i="7"/>
  <c r="K39" i="7"/>
  <c r="M40" i="7"/>
  <c r="L40" i="7" s="1"/>
  <c r="O82" i="7"/>
  <c r="N82" i="7" s="1"/>
  <c r="M81" i="7"/>
  <c r="M80" i="7" s="1"/>
  <c r="Q46" i="7"/>
  <c r="P46" i="7" s="1"/>
  <c r="T47" i="7"/>
  <c r="R47" i="7" s="1"/>
  <c r="S47" i="7" s="1"/>
  <c r="K29" i="7"/>
  <c r="J29" i="7" s="1"/>
  <c r="I22" i="7"/>
  <c r="H22" i="7" s="1"/>
  <c r="K95" i="7"/>
  <c r="M96" i="7"/>
  <c r="L96" i="7" s="1"/>
  <c r="K70" i="7"/>
  <c r="M71" i="7"/>
  <c r="L71" i="7" s="1"/>
  <c r="K120" i="7"/>
  <c r="J120" i="7" s="1"/>
  <c r="I119" i="7"/>
  <c r="M7" i="7"/>
  <c r="K6" i="7"/>
  <c r="J6" i="7" s="1"/>
  <c r="M68" i="7"/>
  <c r="L68" i="7" s="1"/>
  <c r="M142" i="7"/>
  <c r="O143" i="7"/>
  <c r="N143" i="7" s="1"/>
  <c r="K134" i="7"/>
  <c r="J134" i="7" s="1"/>
  <c r="M135" i="7"/>
  <c r="L135" i="7" s="1"/>
  <c r="M13" i="7"/>
  <c r="L13" i="7" s="1"/>
  <c r="K12" i="7"/>
  <c r="M139" i="7"/>
  <c r="L139" i="7" s="1"/>
  <c r="K138" i="7"/>
  <c r="J138" i="7" s="1"/>
  <c r="M114" i="7"/>
  <c r="L114" i="7" s="1"/>
  <c r="K113" i="7"/>
  <c r="J113" i="7" s="1"/>
  <c r="K140" i="7"/>
  <c r="J140" i="7" s="1"/>
  <c r="M141" i="7"/>
  <c r="L141" i="7" s="1"/>
  <c r="M129" i="7"/>
  <c r="L129" i="7" s="1"/>
  <c r="K128" i="7"/>
  <c r="J128" i="7" s="1"/>
  <c r="M32" i="7"/>
  <c r="L32" i="7" s="1"/>
  <c r="K127" i="7"/>
  <c r="J127" i="7" s="1"/>
  <c r="I126" i="7"/>
  <c r="H126" i="7" s="1"/>
  <c r="K121" i="7"/>
  <c r="J121" i="7" s="1"/>
  <c r="M122" i="7"/>
  <c r="L122" i="7" s="1"/>
  <c r="K144" i="7"/>
  <c r="J144" i="7" s="1"/>
  <c r="M145" i="7"/>
  <c r="L145" i="7" s="1"/>
  <c r="K91" i="7"/>
  <c r="J91" i="7" s="1"/>
  <c r="I90" i="7"/>
  <c r="T64" i="7"/>
  <c r="I130" i="7"/>
  <c r="H130" i="7" s="1"/>
  <c r="K131" i="7"/>
  <c r="J131" i="7" s="1"/>
  <c r="O100" i="7"/>
  <c r="Q101" i="7"/>
  <c r="P101" i="7" s="1"/>
  <c r="I59" i="7"/>
  <c r="K60" i="7"/>
  <c r="J60" i="7" s="1"/>
  <c r="S76" i="7" l="1"/>
  <c r="J35" i="7"/>
  <c r="M35" i="7"/>
  <c r="K34" i="7"/>
  <c r="O37" i="7"/>
  <c r="L37" i="7"/>
  <c r="L142" i="7"/>
  <c r="L81" i="7"/>
  <c r="J63" i="7"/>
  <c r="K62" i="7"/>
  <c r="M63" i="7"/>
  <c r="S102" i="7"/>
  <c r="M25" i="7"/>
  <c r="J25" i="7"/>
  <c r="G53" i="7"/>
  <c r="F53" i="7" s="1"/>
  <c r="O27" i="7"/>
  <c r="L27" i="7"/>
  <c r="H62" i="7"/>
  <c r="I61" i="7"/>
  <c r="Q69" i="7"/>
  <c r="N69" i="7"/>
  <c r="M105" i="7"/>
  <c r="L105" i="7" s="1"/>
  <c r="L106" i="7"/>
  <c r="O106" i="7"/>
  <c r="J56" i="7"/>
  <c r="M56" i="7"/>
  <c r="K55" i="7"/>
  <c r="J55" i="7" s="1"/>
  <c r="M28" i="7"/>
  <c r="J28" i="7"/>
  <c r="O99" i="7"/>
  <c r="N99" i="7" s="1"/>
  <c r="N100" i="7"/>
  <c r="O7" i="7"/>
  <c r="N7" i="7" s="1"/>
  <c r="L7" i="7"/>
  <c r="Q26" i="7"/>
  <c r="N26" i="7"/>
  <c r="Q72" i="7"/>
  <c r="N72" i="7"/>
  <c r="L80" i="7"/>
  <c r="J80" i="7"/>
  <c r="I54" i="7"/>
  <c r="H59" i="7"/>
  <c r="I89" i="7"/>
  <c r="H89" i="7" s="1"/>
  <c r="H90" i="7"/>
  <c r="K67" i="7"/>
  <c r="J70" i="7"/>
  <c r="K92" i="7"/>
  <c r="J95" i="7"/>
  <c r="J39" i="7"/>
  <c r="H61" i="7"/>
  <c r="E97" i="7"/>
  <c r="D97" i="7" s="1"/>
  <c r="D98" i="7"/>
  <c r="R64" i="7"/>
  <c r="S64" i="7" s="1"/>
  <c r="I83" i="7"/>
  <c r="H84" i="7"/>
  <c r="I104" i="7"/>
  <c r="H104" i="7" s="1"/>
  <c r="H119" i="7"/>
  <c r="G98" i="7"/>
  <c r="F123" i="7"/>
  <c r="G79" i="7"/>
  <c r="F79" i="7" s="1"/>
  <c r="F83" i="7"/>
  <c r="J12" i="7"/>
  <c r="E5" i="7"/>
  <c r="D79" i="7"/>
  <c r="I66" i="7"/>
  <c r="H66" i="7" s="1"/>
  <c r="H67" i="7"/>
  <c r="K124" i="7"/>
  <c r="J124" i="7" s="1"/>
  <c r="M125" i="7"/>
  <c r="L125" i="7" s="1"/>
  <c r="I123" i="7"/>
  <c r="O145" i="7"/>
  <c r="N145" i="7" s="1"/>
  <c r="M144" i="7"/>
  <c r="O141" i="7"/>
  <c r="N141" i="7" s="1"/>
  <c r="M140" i="7"/>
  <c r="M113" i="7"/>
  <c r="L113" i="7" s="1"/>
  <c r="O114" i="7"/>
  <c r="N114" i="7" s="1"/>
  <c r="O13" i="7"/>
  <c r="N13" i="7" s="1"/>
  <c r="M12" i="7"/>
  <c r="L12" i="7" s="1"/>
  <c r="K84" i="7"/>
  <c r="M85" i="7"/>
  <c r="L85" i="7" s="1"/>
  <c r="Q24" i="7"/>
  <c r="P24" i="7" s="1"/>
  <c r="K130" i="7"/>
  <c r="J130" i="7" s="1"/>
  <c r="M131" i="7"/>
  <c r="L131" i="7" s="1"/>
  <c r="M127" i="7"/>
  <c r="L127" i="7" s="1"/>
  <c r="K126" i="7"/>
  <c r="J126" i="7" s="1"/>
  <c r="M134" i="7"/>
  <c r="O135" i="7"/>
  <c r="N135" i="7" s="1"/>
  <c r="M6" i="7"/>
  <c r="K119" i="7"/>
  <c r="M120" i="7"/>
  <c r="L120" i="7" s="1"/>
  <c r="O68" i="7"/>
  <c r="N68" i="7" s="1"/>
  <c r="K59" i="7"/>
  <c r="M60" i="7"/>
  <c r="L60" i="7" s="1"/>
  <c r="M91" i="7"/>
  <c r="L91" i="7" s="1"/>
  <c r="K90" i="7"/>
  <c r="O122" i="7"/>
  <c r="N122" i="7" s="1"/>
  <c r="M121" i="7"/>
  <c r="O32" i="7"/>
  <c r="M138" i="7"/>
  <c r="O139" i="7"/>
  <c r="N139" i="7" s="1"/>
  <c r="Q7" i="7"/>
  <c r="P7" i="7" s="1"/>
  <c r="O71" i="7"/>
  <c r="N71" i="7" s="1"/>
  <c r="M70" i="7"/>
  <c r="M67" i="7" s="1"/>
  <c r="M66" i="7" s="1"/>
  <c r="O96" i="7"/>
  <c r="N96" i="7" s="1"/>
  <c r="M95" i="7"/>
  <c r="M92" i="7" s="1"/>
  <c r="M29" i="7"/>
  <c r="L29" i="7" s="1"/>
  <c r="K22" i="7"/>
  <c r="Q82" i="7"/>
  <c r="P82" i="7" s="1"/>
  <c r="O81" i="7"/>
  <c r="Q107" i="7"/>
  <c r="T108" i="7"/>
  <c r="R108" i="7" s="1"/>
  <c r="S108" i="7" s="1"/>
  <c r="T101" i="7"/>
  <c r="R101" i="7" s="1"/>
  <c r="S101" i="7" s="1"/>
  <c r="Q100" i="7"/>
  <c r="M128" i="7"/>
  <c r="O129" i="7"/>
  <c r="N129" i="7" s="1"/>
  <c r="O142" i="7"/>
  <c r="N142" i="7" s="1"/>
  <c r="Q143" i="7"/>
  <c r="P143" i="7" s="1"/>
  <c r="T46" i="7"/>
  <c r="O40" i="7"/>
  <c r="N40" i="7" s="1"/>
  <c r="M39" i="7"/>
  <c r="L39" i="7" s="1"/>
  <c r="L95" i="7" l="1"/>
  <c r="P26" i="7"/>
  <c r="S26" i="7" s="1"/>
  <c r="R26" i="7"/>
  <c r="O80" i="7"/>
  <c r="N80" i="7" s="1"/>
  <c r="N81" i="7"/>
  <c r="O28" i="7"/>
  <c r="L28" i="7"/>
  <c r="Q37" i="7"/>
  <c r="N37" i="7"/>
  <c r="O6" i="7"/>
  <c r="N6" i="7" s="1"/>
  <c r="L70" i="7"/>
  <c r="T72" i="7"/>
  <c r="R72" i="7" s="1"/>
  <c r="P72" i="7"/>
  <c r="S72" i="7" s="1"/>
  <c r="Q106" i="7"/>
  <c r="N106" i="7"/>
  <c r="O105" i="7"/>
  <c r="N105" i="7" s="1"/>
  <c r="T69" i="7"/>
  <c r="R69" i="7" s="1"/>
  <c r="P69" i="7"/>
  <c r="S69" i="7" s="1"/>
  <c r="Q27" i="7"/>
  <c r="N27" i="7"/>
  <c r="L63" i="7"/>
  <c r="M62" i="7"/>
  <c r="O63" i="7"/>
  <c r="K31" i="7"/>
  <c r="J31" i="7" s="1"/>
  <c r="J34" i="7"/>
  <c r="Q32" i="7"/>
  <c r="P32" i="7" s="1"/>
  <c r="N32" i="7"/>
  <c r="L56" i="7"/>
  <c r="O56" i="7"/>
  <c r="M55" i="7"/>
  <c r="L55" i="7" s="1"/>
  <c r="O25" i="7"/>
  <c r="L25" i="7"/>
  <c r="K61" i="7"/>
  <c r="J61" i="7" s="1"/>
  <c r="J62" i="7"/>
  <c r="L35" i="7"/>
  <c r="O35" i="7"/>
  <c r="M34" i="7"/>
  <c r="K54" i="7"/>
  <c r="J59" i="7"/>
  <c r="L134" i="7"/>
  <c r="L140" i="7"/>
  <c r="D5" i="7"/>
  <c r="E4" i="7"/>
  <c r="D4" i="7" s="1"/>
  <c r="G97" i="7"/>
  <c r="F97" i="7" s="1"/>
  <c r="F98" i="7"/>
  <c r="I79" i="7"/>
  <c r="H79" i="7" s="1"/>
  <c r="H83" i="7"/>
  <c r="L92" i="7"/>
  <c r="J92" i="7"/>
  <c r="J22" i="7"/>
  <c r="K89" i="7"/>
  <c r="J90" i="7"/>
  <c r="K104" i="7"/>
  <c r="J104" i="7" s="1"/>
  <c r="J119" i="7"/>
  <c r="I98" i="7"/>
  <c r="H123" i="7"/>
  <c r="I53" i="7"/>
  <c r="H54" i="7"/>
  <c r="R46" i="7"/>
  <c r="S46" i="7" s="1"/>
  <c r="Q99" i="7"/>
  <c r="P99" i="7" s="1"/>
  <c r="P100" i="7"/>
  <c r="P107" i="7"/>
  <c r="L6" i="7"/>
  <c r="L144" i="7"/>
  <c r="L138" i="7"/>
  <c r="L128" i="7"/>
  <c r="L121" i="7"/>
  <c r="K83" i="7"/>
  <c r="J84" i="7"/>
  <c r="G5" i="7"/>
  <c r="K66" i="7"/>
  <c r="L67" i="7"/>
  <c r="J67" i="7"/>
  <c r="O125" i="7"/>
  <c r="N125" i="7" s="1"/>
  <c r="M124" i="7"/>
  <c r="T143" i="7"/>
  <c r="R143" i="7" s="1"/>
  <c r="S143" i="7" s="1"/>
  <c r="Q142" i="7"/>
  <c r="P142" i="7" s="1"/>
  <c r="T107" i="7"/>
  <c r="R107" i="7" s="1"/>
  <c r="O29" i="7"/>
  <c r="N29" i="7" s="1"/>
  <c r="M22" i="7"/>
  <c r="L22" i="7" s="1"/>
  <c r="Q71" i="7"/>
  <c r="P71" i="7" s="1"/>
  <c r="O70" i="7"/>
  <c r="T32" i="7"/>
  <c r="R32" i="7" s="1"/>
  <c r="O91" i="7"/>
  <c r="N91" i="7" s="1"/>
  <c r="M90" i="7"/>
  <c r="M89" i="7" s="1"/>
  <c r="O127" i="7"/>
  <c r="N127" i="7" s="1"/>
  <c r="M126" i="7"/>
  <c r="T24" i="7"/>
  <c r="R24" i="7" s="1"/>
  <c r="S24" i="7" s="1"/>
  <c r="Q13" i="7"/>
  <c r="P13" i="7" s="1"/>
  <c r="O12" i="7"/>
  <c r="N12" i="7" s="1"/>
  <c r="Q141" i="7"/>
  <c r="P141" i="7" s="1"/>
  <c r="O140" i="7"/>
  <c r="N140" i="7" s="1"/>
  <c r="Q40" i="7"/>
  <c r="P40" i="7" s="1"/>
  <c r="O39" i="7"/>
  <c r="N39" i="7" s="1"/>
  <c r="T100" i="7"/>
  <c r="R100" i="7" s="1"/>
  <c r="T7" i="7"/>
  <c r="R7" i="7" s="1"/>
  <c r="S7" i="7" s="1"/>
  <c r="Q6" i="7"/>
  <c r="O138" i="7"/>
  <c r="N138" i="7" s="1"/>
  <c r="Q139" i="7"/>
  <c r="P139" i="7" s="1"/>
  <c r="O60" i="7"/>
  <c r="N60" i="7" s="1"/>
  <c r="M59" i="7"/>
  <c r="O120" i="7"/>
  <c r="N120" i="7" s="1"/>
  <c r="M119" i="7"/>
  <c r="Q135" i="7"/>
  <c r="P135" i="7" s="1"/>
  <c r="O134" i="7"/>
  <c r="N134" i="7" s="1"/>
  <c r="O131" i="7"/>
  <c r="N131" i="7" s="1"/>
  <c r="M130" i="7"/>
  <c r="O85" i="7"/>
  <c r="N85" i="7" s="1"/>
  <c r="M84" i="7"/>
  <c r="M83" i="7" s="1"/>
  <c r="M79" i="7" s="1"/>
  <c r="Q114" i="7"/>
  <c r="P114" i="7" s="1"/>
  <c r="O113" i="7"/>
  <c r="N113" i="7" s="1"/>
  <c r="T82" i="7"/>
  <c r="R82" i="7" s="1"/>
  <c r="S82" i="7" s="1"/>
  <c r="Q81" i="7"/>
  <c r="Q96" i="7"/>
  <c r="P96" i="7" s="1"/>
  <c r="O95" i="7"/>
  <c r="Q122" i="7"/>
  <c r="P122" i="7" s="1"/>
  <c r="O121" i="7"/>
  <c r="N121" i="7" s="1"/>
  <c r="Q145" i="7"/>
  <c r="P145" i="7" s="1"/>
  <c r="O144" i="7"/>
  <c r="N144" i="7" s="1"/>
  <c r="Q129" i="7"/>
  <c r="P129" i="7" s="1"/>
  <c r="O128" i="7"/>
  <c r="N128" i="7" s="1"/>
  <c r="Q68" i="7"/>
  <c r="P68" i="7" s="1"/>
  <c r="K123" i="7"/>
  <c r="S100" i="7" l="1"/>
  <c r="N63" i="7"/>
  <c r="Q63" i="7"/>
  <c r="O62" i="7"/>
  <c r="L34" i="7"/>
  <c r="M31" i="7"/>
  <c r="M5" i="7" s="1"/>
  <c r="S107" i="7"/>
  <c r="L90" i="7"/>
  <c r="N35" i="7"/>
  <c r="Q35" i="7"/>
  <c r="O34" i="7"/>
  <c r="N34" i="7" s="1"/>
  <c r="N56" i="7"/>
  <c r="O55" i="7"/>
  <c r="N55" i="7" s="1"/>
  <c r="Q56" i="7"/>
  <c r="S32" i="7"/>
  <c r="O67" i="7"/>
  <c r="N70" i="7"/>
  <c r="T27" i="7"/>
  <c r="R27" i="7" s="1"/>
  <c r="P27" i="7"/>
  <c r="M61" i="7"/>
  <c r="L61" i="7" s="1"/>
  <c r="L62" i="7"/>
  <c r="P106" i="7"/>
  <c r="Q105" i="7"/>
  <c r="P105" i="7" s="1"/>
  <c r="T106" i="7"/>
  <c r="L84" i="7"/>
  <c r="O92" i="7"/>
  <c r="N92" i="7" s="1"/>
  <c r="N95" i="7"/>
  <c r="M54" i="7"/>
  <c r="L54" i="7" s="1"/>
  <c r="P6" i="7"/>
  <c r="L59" i="7"/>
  <c r="Q25" i="7"/>
  <c r="N25" i="7"/>
  <c r="T37" i="7"/>
  <c r="R37" i="7" s="1"/>
  <c r="P37" i="7"/>
  <c r="S37" i="7" s="1"/>
  <c r="Q28" i="7"/>
  <c r="N28" i="7"/>
  <c r="M104" i="7"/>
  <c r="L104" i="7" s="1"/>
  <c r="L119" i="7"/>
  <c r="N124" i="7"/>
  <c r="L124" i="7"/>
  <c r="K98" i="7"/>
  <c r="J123" i="7"/>
  <c r="Q80" i="7"/>
  <c r="P81" i="7"/>
  <c r="J66" i="7"/>
  <c r="L66" i="7"/>
  <c r="K79" i="7"/>
  <c r="L83" i="7"/>
  <c r="J83" i="7"/>
  <c r="I97" i="7"/>
  <c r="H97" i="7" s="1"/>
  <c r="H98" i="7"/>
  <c r="M53" i="7"/>
  <c r="F5" i="7"/>
  <c r="G4" i="7"/>
  <c r="F4" i="7" s="1"/>
  <c r="L89" i="7"/>
  <c r="J89" i="7"/>
  <c r="L130" i="7"/>
  <c r="L126" i="7"/>
  <c r="H53" i="7"/>
  <c r="I5" i="7"/>
  <c r="K53" i="7"/>
  <c r="J54" i="7"/>
  <c r="O124" i="7"/>
  <c r="Q125" i="7"/>
  <c r="P125" i="7" s="1"/>
  <c r="M123" i="7"/>
  <c r="L123" i="7" s="1"/>
  <c r="T68" i="7"/>
  <c r="R68" i="7" s="1"/>
  <c r="S68" i="7" s="1"/>
  <c r="Q121" i="7"/>
  <c r="P121" i="7" s="1"/>
  <c r="T122" i="7"/>
  <c r="R122" i="7" s="1"/>
  <c r="S122" i="7" s="1"/>
  <c r="T114" i="7"/>
  <c r="R114" i="7" s="1"/>
  <c r="S114" i="7" s="1"/>
  <c r="Q113" i="7"/>
  <c r="P113" i="7" s="1"/>
  <c r="Q131" i="7"/>
  <c r="P131" i="7" s="1"/>
  <c r="O130" i="7"/>
  <c r="N130" i="7" s="1"/>
  <c r="O119" i="7"/>
  <c r="Q120" i="7"/>
  <c r="P120" i="7" s="1"/>
  <c r="T99" i="7"/>
  <c r="R99" i="7" s="1"/>
  <c r="S99" i="7" s="1"/>
  <c r="T71" i="7"/>
  <c r="R71" i="7" s="1"/>
  <c r="S71" i="7" s="1"/>
  <c r="Q70" i="7"/>
  <c r="T145" i="7"/>
  <c r="R145" i="7" s="1"/>
  <c r="S145" i="7" s="1"/>
  <c r="Q144" i="7"/>
  <c r="P144" i="7" s="1"/>
  <c r="T81" i="7"/>
  <c r="R81" i="7" s="1"/>
  <c r="S81" i="7" s="1"/>
  <c r="T80" i="7"/>
  <c r="Q60" i="7"/>
  <c r="P60" i="7" s="1"/>
  <c r="O59" i="7"/>
  <c r="T6" i="7"/>
  <c r="R6" i="7" s="1"/>
  <c r="Q39" i="7"/>
  <c r="P39" i="7" s="1"/>
  <c r="T40" i="7"/>
  <c r="R40" i="7" s="1"/>
  <c r="S40" i="7" s="1"/>
  <c r="T13" i="7"/>
  <c r="R13" i="7" s="1"/>
  <c r="S13" i="7" s="1"/>
  <c r="Q12" i="7"/>
  <c r="P12" i="7" s="1"/>
  <c r="O126" i="7"/>
  <c r="N126" i="7" s="1"/>
  <c r="Q127" i="7"/>
  <c r="P127" i="7" s="1"/>
  <c r="T142" i="7"/>
  <c r="O84" i="7"/>
  <c r="Q85" i="7"/>
  <c r="P85" i="7" s="1"/>
  <c r="T135" i="7"/>
  <c r="R135" i="7" s="1"/>
  <c r="S135" i="7" s="1"/>
  <c r="Q134" i="7"/>
  <c r="P134" i="7" s="1"/>
  <c r="T139" i="7"/>
  <c r="R139" i="7" s="1"/>
  <c r="S139" i="7" s="1"/>
  <c r="Q138" i="7"/>
  <c r="P138" i="7" s="1"/>
  <c r="O90" i="7"/>
  <c r="Q91" i="7"/>
  <c r="P91" i="7" s="1"/>
  <c r="Q29" i="7"/>
  <c r="P29" i="7" s="1"/>
  <c r="O22" i="7"/>
  <c r="N22" i="7" s="1"/>
  <c r="T129" i="7"/>
  <c r="R129" i="7" s="1"/>
  <c r="S129" i="7" s="1"/>
  <c r="Q128" i="7"/>
  <c r="P128" i="7" s="1"/>
  <c r="T96" i="7"/>
  <c r="R96" i="7" s="1"/>
  <c r="S96" i="7" s="1"/>
  <c r="Q95" i="7"/>
  <c r="T141" i="7"/>
  <c r="R141" i="7" s="1"/>
  <c r="S141" i="7" s="1"/>
  <c r="Q140" i="7"/>
  <c r="P140" i="7" s="1"/>
  <c r="M98" i="7" l="1"/>
  <c r="M97" i="7" s="1"/>
  <c r="M4" i="7" s="1"/>
  <c r="S6" i="7"/>
  <c r="Q67" i="7"/>
  <c r="P67" i="7" s="1"/>
  <c r="P70" i="7"/>
  <c r="R28" i="7"/>
  <c r="P28" i="7"/>
  <c r="P35" i="7"/>
  <c r="T35" i="7"/>
  <c r="Q34" i="7"/>
  <c r="O31" i="7"/>
  <c r="N31" i="7" s="1"/>
  <c r="L31" i="7"/>
  <c r="P63" i="7"/>
  <c r="T63" i="7"/>
  <c r="Q62" i="7"/>
  <c r="O89" i="7"/>
  <c r="N89" i="7" s="1"/>
  <c r="N90" i="7"/>
  <c r="R25" i="7"/>
  <c r="P25" i="7"/>
  <c r="S25" i="7" s="1"/>
  <c r="O54" i="7"/>
  <c r="O53" i="7" s="1"/>
  <c r="N53" i="7" s="1"/>
  <c r="N59" i="7"/>
  <c r="S113" i="7"/>
  <c r="O83" i="7"/>
  <c r="N84" i="7"/>
  <c r="S28" i="7"/>
  <c r="R106" i="7"/>
  <c r="S106" i="7" s="1"/>
  <c r="T105" i="7"/>
  <c r="R105" i="7" s="1"/>
  <c r="S105" i="7" s="1"/>
  <c r="S27" i="7"/>
  <c r="O66" i="7"/>
  <c r="N66" i="7" s="1"/>
  <c r="N67" i="7"/>
  <c r="P56" i="7"/>
  <c r="Q55" i="7"/>
  <c r="P55" i="7" s="1"/>
  <c r="T56" i="7"/>
  <c r="O61" i="7"/>
  <c r="N61" i="7" s="1"/>
  <c r="N62" i="7"/>
  <c r="H5" i="7"/>
  <c r="I4" i="7"/>
  <c r="H4" i="7" s="1"/>
  <c r="L53" i="7"/>
  <c r="R80" i="7"/>
  <c r="P80" i="7"/>
  <c r="L98" i="7"/>
  <c r="R142" i="7"/>
  <c r="S142" i="7" s="1"/>
  <c r="O104" i="7"/>
  <c r="N104" i="7" s="1"/>
  <c r="N119" i="7"/>
  <c r="L79" i="7"/>
  <c r="J79" i="7"/>
  <c r="Q92" i="7"/>
  <c r="P92" i="7" s="1"/>
  <c r="P95" i="7"/>
  <c r="J53" i="7"/>
  <c r="K5" i="7"/>
  <c r="J5" i="7" s="1"/>
  <c r="K97" i="7"/>
  <c r="J98" i="7"/>
  <c r="Q124" i="7"/>
  <c r="P124" i="7" s="1"/>
  <c r="T125" i="7"/>
  <c r="R125" i="7" s="1"/>
  <c r="S125" i="7" s="1"/>
  <c r="O123" i="7"/>
  <c r="T138" i="7"/>
  <c r="T70" i="7"/>
  <c r="R70" i="7" s="1"/>
  <c r="T12" i="7"/>
  <c r="T134" i="7"/>
  <c r="Q126" i="7"/>
  <c r="P126" i="7" s="1"/>
  <c r="T127" i="7"/>
  <c r="R127" i="7" s="1"/>
  <c r="S127" i="7" s="1"/>
  <c r="T39" i="7"/>
  <c r="T140" i="7"/>
  <c r="T144" i="7"/>
  <c r="T120" i="7"/>
  <c r="R120" i="7" s="1"/>
  <c r="S120" i="7" s="1"/>
  <c r="Q119" i="7"/>
  <c r="T95" i="7"/>
  <c r="R95" i="7" s="1"/>
  <c r="T29" i="7"/>
  <c r="R29" i="7" s="1"/>
  <c r="S29" i="7" s="1"/>
  <c r="Q22" i="7"/>
  <c r="P22" i="7" s="1"/>
  <c r="T113" i="7"/>
  <c r="R113" i="7" s="1"/>
  <c r="T128" i="7"/>
  <c r="Q90" i="7"/>
  <c r="T91" i="7"/>
  <c r="R91" i="7" s="1"/>
  <c r="S91" i="7" s="1"/>
  <c r="T85" i="7"/>
  <c r="R85" i="7" s="1"/>
  <c r="S85" i="7" s="1"/>
  <c r="Q84" i="7"/>
  <c r="T60" i="7"/>
  <c r="R60" i="7" s="1"/>
  <c r="S60" i="7" s="1"/>
  <c r="Q59" i="7"/>
  <c r="T131" i="7"/>
  <c r="R131" i="7" s="1"/>
  <c r="S131" i="7" s="1"/>
  <c r="Q130" i="7"/>
  <c r="P130" i="7" s="1"/>
  <c r="T121" i="7"/>
  <c r="S95" i="7" l="1"/>
  <c r="Q66" i="7"/>
  <c r="P66" i="7" s="1"/>
  <c r="S80" i="7"/>
  <c r="S70" i="7"/>
  <c r="R63" i="7"/>
  <c r="T62" i="7"/>
  <c r="Q31" i="7"/>
  <c r="P31" i="7" s="1"/>
  <c r="P34" i="7"/>
  <c r="O79" i="7"/>
  <c r="N79" i="7" s="1"/>
  <c r="N83" i="7"/>
  <c r="S63" i="7"/>
  <c r="R35" i="7"/>
  <c r="S35" i="7" s="1"/>
  <c r="T34" i="7"/>
  <c r="N54" i="7"/>
  <c r="R56" i="7"/>
  <c r="S56" i="7" s="1"/>
  <c r="T55" i="7"/>
  <c r="R55" i="7" s="1"/>
  <c r="S55" i="7" s="1"/>
  <c r="Q61" i="7"/>
  <c r="P61" i="7" s="1"/>
  <c r="P62" i="7"/>
  <c r="R128" i="7"/>
  <c r="S128" i="7" s="1"/>
  <c r="R140" i="7"/>
  <c r="S140" i="7" s="1"/>
  <c r="R134" i="7"/>
  <c r="S134" i="7" s="1"/>
  <c r="R12" i="7"/>
  <c r="S12" i="7" s="1"/>
  <c r="R138" i="7"/>
  <c r="S138" i="7" s="1"/>
  <c r="Q54" i="7"/>
  <c r="P59" i="7"/>
  <c r="S59" i="7" s="1"/>
  <c r="Q104" i="7"/>
  <c r="P104" i="7" s="1"/>
  <c r="P119" i="7"/>
  <c r="R144" i="7"/>
  <c r="S144" i="7" s="1"/>
  <c r="O98" i="7"/>
  <c r="N123" i="7"/>
  <c r="L97" i="7"/>
  <c r="L5" i="7"/>
  <c r="Q83" i="7"/>
  <c r="P84" i="7"/>
  <c r="R121" i="7"/>
  <c r="S121" i="7" s="1"/>
  <c r="Q89" i="7"/>
  <c r="P89" i="7" s="1"/>
  <c r="P90" i="7"/>
  <c r="O5" i="7"/>
  <c r="N5" i="7" s="1"/>
  <c r="R39" i="7"/>
  <c r="S39" i="7" s="1"/>
  <c r="K4" i="7"/>
  <c r="J4" i="7" s="1"/>
  <c r="J97" i="7"/>
  <c r="T124" i="7"/>
  <c r="T126" i="7"/>
  <c r="R126" i="7" s="1"/>
  <c r="S126" i="7" s="1"/>
  <c r="T67" i="7"/>
  <c r="R67" i="7" s="1"/>
  <c r="S67" i="7" s="1"/>
  <c r="Q123" i="7"/>
  <c r="T59" i="7"/>
  <c r="R59" i="7" s="1"/>
  <c r="T92" i="7"/>
  <c r="T130" i="7"/>
  <c r="T84" i="7"/>
  <c r="R84" i="7" s="1"/>
  <c r="S84" i="7" s="1"/>
  <c r="T22" i="7"/>
  <c r="T119" i="7"/>
  <c r="T104" i="7" s="1"/>
  <c r="T90" i="7"/>
  <c r="R90" i="7" s="1"/>
  <c r="S90" i="7" l="1"/>
  <c r="R104" i="7"/>
  <c r="T31" i="7"/>
  <c r="R31" i="7" s="1"/>
  <c r="S31" i="7" s="1"/>
  <c r="R34" i="7"/>
  <c r="S34" i="7" s="1"/>
  <c r="S104" i="7"/>
  <c r="R62" i="7"/>
  <c r="S62" i="7" s="1"/>
  <c r="T61" i="7"/>
  <c r="R61" i="7" s="1"/>
  <c r="S61" i="7" s="1"/>
  <c r="L4" i="7"/>
  <c r="R119" i="7"/>
  <c r="S119" i="7" s="1"/>
  <c r="Q98" i="7"/>
  <c r="P123" i="7"/>
  <c r="R92" i="7"/>
  <c r="S92" i="7" s="1"/>
  <c r="R124" i="7"/>
  <c r="S124" i="7" s="1"/>
  <c r="Q79" i="7"/>
  <c r="P79" i="7" s="1"/>
  <c r="P83" i="7"/>
  <c r="R22" i="7"/>
  <c r="S22" i="7" s="1"/>
  <c r="R130" i="7"/>
  <c r="S130" i="7" s="1"/>
  <c r="O97" i="7"/>
  <c r="N97" i="7" s="1"/>
  <c r="N98" i="7"/>
  <c r="Q53" i="7"/>
  <c r="P54" i="7"/>
  <c r="S54" i="7" s="1"/>
  <c r="T66" i="7"/>
  <c r="T89" i="7"/>
  <c r="T54" i="7"/>
  <c r="R54" i="7" s="1"/>
  <c r="T123" i="7"/>
  <c r="T83" i="7"/>
  <c r="R83" i="7" s="1"/>
  <c r="S83" i="7" s="1"/>
  <c r="O4" i="7" l="1"/>
  <c r="N4" i="7" s="1"/>
  <c r="R66" i="7"/>
  <c r="S66" i="7" s="1"/>
  <c r="P53" i="7"/>
  <c r="Q5" i="7"/>
  <c r="Q97" i="7"/>
  <c r="P97" i="7" s="1"/>
  <c r="P98" i="7"/>
  <c r="R123" i="7"/>
  <c r="S123" i="7" s="1"/>
  <c r="R89" i="7"/>
  <c r="S89" i="7" s="1"/>
  <c r="T79" i="7"/>
  <c r="T98" i="7"/>
  <c r="R98" i="7" s="1"/>
  <c r="T53" i="7"/>
  <c r="R53" i="7" s="1"/>
  <c r="S98" i="7" l="1"/>
  <c r="S53" i="7"/>
  <c r="R79" i="7"/>
  <c r="S79" i="7" s="1"/>
  <c r="P5" i="7"/>
  <c r="Q4" i="7"/>
  <c r="P4" i="7" s="1"/>
  <c r="T5" i="7"/>
  <c r="R5" i="7" s="1"/>
  <c r="T97" i="7"/>
  <c r="S5" i="7" l="1"/>
  <c r="R97" i="7"/>
  <c r="S97" i="7" s="1"/>
  <c r="T4" i="7"/>
  <c r="R4" i="7" s="1"/>
  <c r="S4" i="7" s="1"/>
  <c r="L53" i="6" l="1"/>
  <c r="M53" i="6" s="1"/>
  <c r="L52" i="6" l="1"/>
  <c r="L51" i="6" s="1"/>
  <c r="L50" i="6"/>
  <c r="L49" i="6" s="1"/>
  <c r="L48" i="6"/>
  <c r="L47" i="6"/>
  <c r="L46" i="6"/>
  <c r="L45" i="6" s="1"/>
  <c r="L44" i="6"/>
  <c r="L43" i="6"/>
  <c r="L42" i="6"/>
  <c r="L41" i="6"/>
  <c r="L40" i="6" s="1"/>
  <c r="L39" i="6"/>
  <c r="L38" i="6"/>
  <c r="L37" i="6" s="1"/>
  <c r="L36" i="6"/>
  <c r="L35" i="6"/>
  <c r="L34" i="6"/>
  <c r="L33" i="6"/>
  <c r="L32" i="6"/>
  <c r="L31" i="6"/>
  <c r="L29" i="6"/>
  <c r="L28" i="6"/>
  <c r="L27" i="6"/>
  <c r="L26" i="6"/>
  <c r="L25" i="6" s="1"/>
  <c r="L24" i="6"/>
  <c r="L23" i="6"/>
  <c r="L22" i="6"/>
  <c r="L21" i="6"/>
  <c r="L18" i="6" s="1"/>
  <c r="L20" i="6"/>
  <c r="L19" i="6"/>
  <c r="L17" i="6"/>
  <c r="L16" i="6"/>
  <c r="L15" i="6" s="1"/>
  <c r="L13" i="6"/>
  <c r="L14" i="6"/>
  <c r="L12" i="6"/>
  <c r="L11" i="6"/>
  <c r="L9" i="6"/>
  <c r="L7" i="6"/>
  <c r="L5" i="6"/>
  <c r="L10" i="6"/>
  <c r="L8" i="6"/>
  <c r="L6" i="6"/>
  <c r="L30" i="6" l="1"/>
  <c r="L4" i="6"/>
  <c r="D45" i="6"/>
  <c r="K51" i="6" l="1"/>
  <c r="K49" i="6"/>
  <c r="K45" i="6"/>
  <c r="K40" i="6"/>
  <c r="K37" i="6"/>
  <c r="K30" i="6"/>
  <c r="K25" i="6" l="1"/>
  <c r="K18" i="6"/>
  <c r="M14" i="6"/>
  <c r="K13" i="6"/>
  <c r="J13" i="6"/>
  <c r="K15" i="6"/>
  <c r="K4" i="6"/>
  <c r="H4" i="6"/>
  <c r="K53" i="6" l="1"/>
  <c r="M13" i="6"/>
  <c r="J45" i="6"/>
  <c r="J30" i="6"/>
  <c r="J15" i="6"/>
  <c r="I15" i="6"/>
  <c r="I45" i="6"/>
  <c r="H45" i="6"/>
  <c r="H15" i="6"/>
  <c r="G15" i="6"/>
  <c r="G45" i="6"/>
  <c r="G51" i="6"/>
  <c r="F45" i="6"/>
  <c r="F40" i="6"/>
  <c r="F37" i="6"/>
  <c r="F30" i="6"/>
  <c r="F25" i="6"/>
  <c r="F18" i="6"/>
  <c r="F15" i="6"/>
  <c r="F51" i="6"/>
  <c r="E25" i="6"/>
  <c r="E40" i="6"/>
  <c r="E51" i="6"/>
  <c r="E49" i="6"/>
  <c r="E45" i="6"/>
  <c r="E37" i="6"/>
  <c r="E30" i="6"/>
  <c r="E15" i="6"/>
  <c r="D4" i="6"/>
  <c r="D51" i="6"/>
  <c r="D15" i="6"/>
  <c r="C45" i="6"/>
  <c r="C18" i="6"/>
  <c r="C15" i="6"/>
  <c r="M48" i="6" l="1"/>
  <c r="M41" i="6"/>
  <c r="M33" i="6"/>
  <c r="M43" i="6"/>
  <c r="M44" i="6"/>
  <c r="M31" i="6"/>
  <c r="M46" i="6"/>
  <c r="M32" i="6"/>
  <c r="M47" i="6"/>
  <c r="M34" i="6"/>
  <c r="M35" i="6"/>
  <c r="M36" i="6"/>
  <c r="M38" i="6"/>
  <c r="M39" i="6"/>
  <c r="M16" i="6"/>
  <c r="M17" i="6"/>
  <c r="M52" i="6"/>
  <c r="M50" i="6"/>
  <c r="M42" i="6"/>
  <c r="M29" i="6"/>
  <c r="M28" i="6"/>
  <c r="M27" i="6"/>
  <c r="M26" i="6"/>
  <c r="M24" i="6"/>
  <c r="M23" i="6"/>
  <c r="M22" i="6"/>
  <c r="M21" i="6"/>
  <c r="M20" i="6"/>
  <c r="M19" i="6"/>
  <c r="M11" i="6" l="1"/>
  <c r="M10" i="6"/>
  <c r="M5" i="6"/>
  <c r="M9" i="6"/>
  <c r="M12" i="6"/>
  <c r="M6" i="6"/>
  <c r="M7" i="6"/>
  <c r="M8" i="6"/>
  <c r="F49" i="6"/>
  <c r="F4" i="6"/>
  <c r="F53" i="6" l="1"/>
  <c r="I4" i="6"/>
  <c r="G4" i="6"/>
  <c r="E4" i="6"/>
  <c r="D18" i="6"/>
  <c r="D25" i="6"/>
  <c r="D30" i="6"/>
  <c r="D37" i="6"/>
  <c r="D40" i="6"/>
  <c r="D49" i="6"/>
  <c r="C51" i="6"/>
  <c r="C49" i="6"/>
  <c r="C40" i="6"/>
  <c r="C37" i="6"/>
  <c r="C30" i="6"/>
  <c r="C25" i="6"/>
  <c r="C4" i="6"/>
  <c r="D53" i="6" l="1"/>
  <c r="C53" i="6"/>
  <c r="J51" i="6"/>
  <c r="I51" i="6"/>
  <c r="H51" i="6"/>
  <c r="J49" i="6"/>
  <c r="I49" i="6"/>
  <c r="H49" i="6"/>
  <c r="G49" i="6"/>
  <c r="J40" i="6"/>
  <c r="I40" i="6"/>
  <c r="H40" i="6"/>
  <c r="G40" i="6"/>
  <c r="J37" i="6"/>
  <c r="I37" i="6"/>
  <c r="H37" i="6"/>
  <c r="G37" i="6"/>
  <c r="I30" i="6"/>
  <c r="H30" i="6"/>
  <c r="G30" i="6"/>
  <c r="J25" i="6"/>
  <c r="I25" i="6"/>
  <c r="H25" i="6"/>
  <c r="G25" i="6"/>
  <c r="J18" i="6"/>
  <c r="I18" i="6"/>
  <c r="H18" i="6"/>
  <c r="G18" i="6"/>
  <c r="J4" i="6"/>
  <c r="M45" i="6" l="1"/>
  <c r="M15" i="6"/>
  <c r="H53" i="6"/>
  <c r="I53" i="6"/>
  <c r="J53" i="6"/>
  <c r="G53" i="6"/>
  <c r="M30" i="6" l="1"/>
  <c r="M4" i="6"/>
  <c r="E18" i="6" l="1"/>
  <c r="E53" i="6" l="1"/>
  <c r="M25" i="6"/>
  <c r="M37" i="6"/>
  <c r="M40" i="6"/>
  <c r="M49" i="6"/>
  <c r="M51" i="6"/>
  <c r="M18" i="6" l="1"/>
</calcChain>
</file>

<file path=xl/sharedStrings.xml><?xml version="1.0" encoding="utf-8"?>
<sst xmlns="http://schemas.openxmlformats.org/spreadsheetml/2006/main" count="437" uniqueCount="431">
  <si>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</si>
  <si>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</si>
  <si>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</si>
  <si>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</si>
  <si>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</si>
  <si>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</si>
  <si>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</si>
  <si>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</si>
  <si>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</si>
  <si>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</si>
  <si>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</si>
  <si>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</si>
  <si>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</si>
  <si>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</si>
  <si>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</si>
  <si>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</si>
  <si>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</si>
  <si>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</si>
  <si>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</si>
  <si>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</si>
  <si>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</si>
  <si>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</si>
  <si>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</si>
  <si>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</si>
  <si>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</si>
  <si>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</si>
  <si>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</si>
  <si>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</si>
  <si>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</si>
  <si>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</si>
  <si>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</si>
  <si>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</si>
  <si>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</si>
  <si>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</si>
  <si>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</si>
  <si>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</si>
  <si>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</si>
  <si>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</si>
  <si>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</si>
  <si>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</si>
  <si>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</si>
  <si>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</si>
  <si>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</si>
  <si>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</si>
  <si>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</si>
  <si>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</si>
  <si>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</si>
  <si>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</si>
  <si>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</si>
  <si>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</si>
  <si>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</si>
  <si>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</si>
  <si>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</si>
  <si>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</si>
  <si>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</si>
  <si>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</si>
  <si>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</si>
  <si>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</si>
  <si>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</si>
  <si>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>000 1 06 06032 04 0000 110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</si>
  <si>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</si>
  <si>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</si>
  <si>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</si>
  <si>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>000 1 06 06042 04 0000 110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</si>
  <si>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</si>
  <si>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</si>
  <si>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</si>
  <si>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</si>
  <si>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</si>
  <si>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</si>
  <si>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</si>
  <si>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</si>
  <si>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</si>
  <si>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</si>
  <si>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</si>
  <si>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</si>
  <si>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</si>
  <si>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</si>
  <si>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</si>
  <si>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</si>
  <si>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</si>
  <si>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</si>
  <si>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</si>
  <si>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</si>
  <si>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</si>
  <si>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</si>
  <si>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 xml:space="preserve">  Прочие налоги и сборы (по отмененным местным налогам и сборам)</t>
  </si>
  <si>
    <t>000 1 09 07000 00 0000 110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</si>
  <si>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</si>
  <si>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</si>
  <si>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</si>
  <si>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</si>
  <si>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</si>
  <si>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</si>
  <si>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</si>
  <si>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</si>
  <si>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</si>
  <si>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</si>
  <si>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</si>
  <si>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</si>
  <si>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000 1 11 05020 00 0000 120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</si>
  <si>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</si>
  <si>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</si>
  <si>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</si>
  <si>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</si>
  <si>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000 1 11 09000 00 0000 120</t>
  </si>
  <si>
    <t>000 1 11 09040 00 0000 120</t>
  </si>
  <si>
    <t>000 1 11 09044 04 0000 120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</si>
  <si>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</si>
  <si>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</si>
  <si>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</si>
  <si>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</si>
  <si>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</si>
  <si>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</si>
  <si>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</si>
  <si>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</si>
  <si>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</si>
  <si>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</si>
  <si>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</si>
  <si>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</si>
  <si>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</si>
  <si>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</si>
  <si>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ДОХОДЫ ОТ ОКАЗАНИЯ ПЛАТНЫХ УСЛУГ И КОМПЕНСАЦИИ ЗАТРАТ ГОСУДАРСТВА</t>
  </si>
  <si>
    <t>000 1 13 00000 00 0000 000</t>
  </si>
  <si>
    <t>000 1 13 01000 00 0000 130</t>
  </si>
  <si>
    <t>000 1 13 01074 04 0000 130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</si>
  <si>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</si>
  <si>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</si>
  <si>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</si>
  <si>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</si>
  <si>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округов</t>
  </si>
  <si>
    <t>000 1 13 02994 04 0000 130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</si>
  <si>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</si>
  <si>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</si>
  <si>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</si>
  <si>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</si>
  <si>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</si>
  <si>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</si>
  <si>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</si>
  <si>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</si>
  <si>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</si>
  <si>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</si>
  <si>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</si>
  <si>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</si>
  <si>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</si>
  <si>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</si>
  <si>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</si>
  <si>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</si>
  <si>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</si>
  <si>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</si>
  <si>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</si>
  <si>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</si>
  <si>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 xml:space="preserve">  ШТРАФЫ, САНКЦИИ, ВОЗМЕЩЕНИЕ УЩЕРБА</t>
  </si>
  <si>
    <t>000 1 16 00000 00 0000 000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</si>
  <si>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</si>
  <si>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</si>
  <si>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</si>
  <si>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</si>
  <si>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городских округов</t>
  </si>
  <si>
    <t>000 1 17 01040 04 0000 180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</si>
  <si>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</si>
  <si>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</si>
  <si>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округов</t>
  </si>
  <si>
    <t>000 1 17 05040 04 0000 180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</si>
  <si>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</si>
  <si>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</si>
  <si>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</si>
  <si>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</si>
  <si>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</si>
  <si>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</si>
  <si>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</si>
  <si>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</si>
  <si>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городских округов на поддержку мер по обеспечению сбалансированности бюджетов</t>
  </si>
  <si>
    <t>000 2 02 15002 04 0000 150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</si>
  <si>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</si>
  <si>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</si>
  <si>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</si>
  <si>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</si>
  <si>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городских округов на реализацию мероприятий по обеспечению жильем молодых семей</t>
  </si>
  <si>
    <t>000 2 02 25497 04 0000 150</t>
  </si>
  <si>
    <t xml:space="preserve">  Субсидия бюджетам на поддержку отрасли культуры</t>
  </si>
  <si>
    <t>000 2 02 25519 00 0000 150</t>
  </si>
  <si>
    <t xml:space="preserve">  Субсидия бюджетам городских округов на поддержку отрасли культуры</t>
  </si>
  <si>
    <t>000 2 02 25519 04 0000 150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</si>
  <si>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</si>
  <si>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</si>
  <si>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</si>
  <si>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</si>
  <si>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  Прочие субсидии</t>
  </si>
  <si>
    <t>000 2 02 29999 00 0000 150</t>
  </si>
  <si>
    <t xml:space="preserve">  Прочие субсидии бюджетам городских округов</t>
  </si>
  <si>
    <t>000 2 02 29999 04 0000 150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</si>
  <si>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</si>
  <si>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</si>
  <si>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</si>
  <si>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</si>
  <si>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</si>
  <si>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</si>
  <si>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</si>
  <si>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</si>
  <si>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</si>
  <si>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</si>
  <si>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</si>
  <si>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</si>
  <si>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</si>
  <si>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</si>
  <si>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</si>
  <si>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</si>
  <si>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</si>
  <si>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</si>
  <si>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</si>
  <si>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</si>
  <si>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городских округов на государственную регистрацию актов гражданского состояния</t>
  </si>
  <si>
    <t>000 2 02 35930 04 0000 150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</si>
  <si>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</si>
  <si>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</si>
  <si>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</si>
  <si>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</si>
  <si>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</si>
  <si>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</si>
  <si>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>Наименование доходов</t>
  </si>
  <si>
    <t>Итого изменений</t>
  </si>
  <si>
    <t>Доходы, всего:</t>
  </si>
  <si>
    <t>000 2 02 25243 04 0000 150</t>
  </si>
  <si>
    <t>000 2 02 25243 00 0000 150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</si>
  <si>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</si>
  <si>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</si>
  <si>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>Сведения о внесенных изменениях в муниципальный правовой акт в части расходов</t>
  </si>
  <si>
    <t>код бюджетной классификации</t>
  </si>
  <si>
    <t>Наименование расходов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</si>
  <si>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</si>
  <si>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</si>
  <si>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</si>
  <si>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</si>
  <si>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</si>
  <si>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</si>
  <si>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</si>
  <si>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</si>
  <si>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</si>
  <si>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</si>
  <si>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</si>
  <si>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</si>
  <si>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</si>
  <si>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</si>
  <si>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</si>
  <si>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</si>
  <si>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</si>
  <si>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</si>
  <si>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</si>
  <si>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</si>
  <si>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</si>
  <si>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</si>
  <si>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</si>
  <si>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</si>
  <si>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</si>
  <si>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</si>
  <si>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</si>
  <si>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</si>
  <si>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</si>
  <si>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</si>
  <si>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</si>
  <si>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</si>
  <si>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</si>
  <si>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</si>
  <si>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</si>
  <si>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</si>
  <si>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</si>
  <si>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</si>
  <si>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</si>
  <si>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</si>
  <si>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</si>
  <si>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</si>
  <si>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</si>
  <si>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</si>
  <si>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</si>
  <si>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</si>
  <si>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</si>
  <si>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</si>
  <si>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</si>
  <si>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</si>
  <si>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</si>
  <si>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</si>
  <si>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</si>
  <si>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</si>
  <si>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</si>
  <si>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</si>
  <si>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</si>
  <si>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</si>
  <si>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</si>
  <si>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</si>
  <si>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</si>
  <si>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</si>
  <si>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</si>
  <si>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</si>
  <si>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</si>
  <si>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</si>
  <si>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</si>
  <si>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</si>
  <si>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</si>
  <si>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</si>
  <si>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</si>
  <si>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</si>
  <si>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</si>
  <si>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</si>
  <si>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</si>
  <si>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</si>
  <si>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</si>
  <si>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</si>
  <si>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</si>
  <si>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</si>
  <si>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</si>
  <si>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</si>
  <si>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</si>
  <si>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</si>
  <si>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</si>
  <si>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</si>
  <si>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</si>
  <si>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</si>
  <si>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</si>
  <si>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</si>
  <si>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 РАСХОДОВ</t>
  </si>
  <si>
    <t>0310</t>
  </si>
  <si>
    <t>Гражданская оборона</t>
  </si>
  <si>
    <t>1103</t>
  </si>
  <si>
    <t>Спорт высших достижений</t>
  </si>
  <si>
    <t>0200</t>
  </si>
  <si>
    <t>0203</t>
  </si>
  <si>
    <t>НАЦИОНАЛЬНАЯ ОБОРОНА</t>
  </si>
  <si>
    <t>Мобилизация и вневойсковая подготовка</t>
  </si>
  <si>
    <t>Изменение по  муниципальному правовому акту     от 29.06.2022г.            № 332 -МПА (уточненный_4), руб.</t>
  </si>
  <si>
    <t>Изменение по  муниципальному правовому акту     от 20.07.2022           № 335 -МПА (уточненный_5), руб.</t>
  </si>
  <si>
    <t>Изменение по  муниципальному правовому акту     от  28.09.2022г.          № 1 -МПА (уточненный_6), руб.</t>
  </si>
  <si>
    <t>Изменение по  муниципальному правовому акту     от  01.12.2022г.           № 10 -МПА (уточненный_7), руб.</t>
  </si>
  <si>
    <t>Изменение по  муниципальному правовому акту     от  28.12.2022г.           № 18 -МПА (уточненный_8), руб.</t>
  </si>
  <si>
    <t>План по  муниципальному правовому акту     от 27.12.2021                № 294-МПА (первоначальный), руб.</t>
  </si>
  <si>
    <t>Изменение по  муниципальному правовому акту     от  24.02.2022      № 307-МПА (уточненный_1), руб.</t>
  </si>
  <si>
    <t>Изменение по  муниципальному правовому акту     от 12.04.2022г.            № 318 -МПА (уточненный_2), руб.</t>
  </si>
  <si>
    <t>Изменение по  муниципальному правовому акту     от 25.05.2022г.           № 326 -МПА (уточненный_3), руб.</t>
  </si>
  <si>
    <t>План по  муниципальному правовому акту     от 28.12.2022            №18 -МПА (уточненный), руб.</t>
  </si>
  <si>
    <t>Код бюджетной классификации (без указания кода главного администратора доходов бюджета)</t>
  </si>
  <si>
    <t>План по  муниципальному правовому акту о бюджете от 27.12.2021 № 294-МПА (первоначальный), тыс. руб.</t>
  </si>
  <si>
    <t>План по  муниципальному правовому акту о бюджете от 24.02.2022 № 307-МПА (первоначальный), тыс. руб.</t>
  </si>
  <si>
    <t>План по  муниципальному правовому акту о бюджете от 12.04.2022 № 318-МПА (первоначальный), тыс. руб.</t>
  </si>
  <si>
    <t>План по  муниципальному правовому акту о бюджете от 25.05.2022 № 326-МПА (первоначальный), тыс. руб.</t>
  </si>
  <si>
    <t>План по  муниципальному правовому акту о бюджете от 29.06.2022 № 332-МПА (первоначальный), тыс. руб.</t>
  </si>
  <si>
    <t>План по  муниципальному правовому акту о бюджете от 20.07.2022 № 335-МПА (первоначальный), тыс. руб.</t>
  </si>
  <si>
    <t>План по  муниципальному правовому акту о бюджете от 28.09.2022 № 1-МПА (первоначальный), тыс. руб.</t>
  </si>
  <si>
    <t>План по  муниципальному правовому акту о бюджете от 01.12.2022 № 10-МПА (первоначальный), тыс. руб.</t>
  </si>
  <si>
    <t>000 1 05 01000 01 0000 110</t>
  </si>
  <si>
    <t xml:space="preserve">Налог, взимаемый в связи с применением упрощенной системы налогообложения
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</si>
  <si>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</si>
  <si>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000 1 11 05024 00 0000 120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</si>
  <si>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</si>
  <si>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</si>
  <si>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</si>
  <si>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</si>
  <si>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>000 1 11 09080 04 0000 120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</si>
  <si>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
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</si>
  <si>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</t>
  </si>
  <si>
    <t xml:space="preserve">Доходы от оказания платных услуг (работ)
</t>
  </si>
  <si>
    <t xml:space="preserve">Доходы от оказания информационных услуг органами местного самоуправления городских округов, казенными учреждениями городских округов
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</si>
  <si>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</si>
  <si>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</si>
  <si>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</si>
  <si>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</si>
  <si>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000 2 02 19999 00 0000 150</t>
  </si>
  <si>
    <t>Прочие дотации</t>
  </si>
  <si>
    <t>000 2 02 19999 04 0000 150</t>
  </si>
  <si>
    <t>Прочие дотации бюджетам городских округов</t>
  </si>
  <si>
    <t>000 2 02 20299 00 0000 150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</si>
  <si>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</si>
  <si>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</si>
  <si>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</si>
  <si>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</si>
  <si>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</si>
  <si>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</si>
  <si>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</si>
  <si>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000 2 02 25229 00 0000 150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</si>
  <si>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</si>
  <si>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000 2 02 25229 04 0000 150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</si>
  <si>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</si>
  <si>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000 2 02 25511 00 0000 150</t>
  </si>
  <si>
    <t xml:space="preserve">Субсидии бюджетам на проведение комплексных кадастровых работ
</t>
  </si>
  <si>
    <t>000 2 02 25511 04 0000 150</t>
  </si>
  <si>
    <t>Субсидии бюджетам городских округов на проведение комплексных кадастровых работ</t>
  </si>
  <si>
    <t>000 2 02 35260 00 0000 150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</si>
  <si>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</si>
  <si>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000 2 02 35260 04 0000 150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</si>
  <si>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</si>
  <si>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000 2 02 35304 00 0000 150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</si>
  <si>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</si>
  <si>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</si>
  <si>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000 2 02 35469 00 0000 150</t>
  </si>
  <si>
    <t xml:space="preserve">Субвенции бюджетам на проведение Всероссийской переписи населения
</t>
  </si>
  <si>
    <t>000 2 02 35469 04 0000 150</t>
  </si>
  <si>
    <t xml:space="preserve">Субвенции бюджетам городских округов на проведение Всероссийской переписи населения
</t>
  </si>
  <si>
    <t>000 2 02 36900 00 0000 150</t>
  </si>
  <si>
    <t xml:space="preserve">Единая субвенция местным бюджетам из бюджета субъекта Российской Федерации
</t>
  </si>
  <si>
    <t>000 2 02 36900 04 0000 150</t>
  </si>
  <si>
    <t>Единая субвенция бюджетам городских округов из бюджета субъекта Российской Федерации</t>
  </si>
  <si>
    <t>000 2 02 39999 00 0000 150</t>
  </si>
  <si>
    <t>Прочие субвенции</t>
  </si>
  <si>
    <t>000 2 02 39999 04 0000 150</t>
  </si>
  <si>
    <t>Прочие субвенции бюджетам городских округов</t>
  </si>
  <si>
    <t>000 2 02 45303 00 0000 150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</si>
  <si>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</si>
  <si>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</si>
  <si>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</si>
  <si>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000 2 02 45505 00 0000 150</t>
  </si>
  <si>
    <t xml:space="preserve"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</si>
  <si>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>000 2 02 45505 04 0000 150</t>
  </si>
  <si>
    <t xml:space="preserve"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</si>
  <si>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>000 2 02 45454 00 0000 150</t>
  </si>
  <si>
    <t xml:space="preserve">Межбюджетные трансферты, передаваемые бюджетам на создание модельных муниципальных библиотек
</t>
  </si>
  <si>
    <t>000 2 02 45454 04 0000 150</t>
  </si>
  <si>
    <t xml:space="preserve">Межбюджетные трансферты, передаваемые бюджетам городских округов на создание модельных муниципальных библиотек
</t>
  </si>
  <si>
    <t xml:space="preserve">000 2 02 49999 00 0000 150 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</si>
  <si>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</si>
  <si>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городских округов
</t>
  </si>
  <si>
    <t>000 2 19 35930 04 0000 150</t>
  </si>
  <si>
    <t xml:space="preserve">Возврат остатков субвенций на государственную регистрацию актов гражданского состояния из бюджетов городских округов
</t>
  </si>
  <si>
    <t>Изменения по  муниципальному правовому акту о бюджете от 24.02.2022 № 307-МПА (первоначальный), тыс. руб.</t>
  </si>
  <si>
    <t>Изменения по  муниципальному правовому акту о бюджете от 12.04.2022 № 318-МПА (первоначальный), тыс. руб.</t>
  </si>
  <si>
    <t>Изменения по  муниципальному правовому акту о бюджете от 25.05.2022 № 326-МПА (первоначальный), тыс. руб.</t>
  </si>
  <si>
    <t>Изменения по  муниципальному правовому акту о бюджете от 29.06.2022 № 332-МПА (первоначальный), тыс. руб.</t>
  </si>
  <si>
    <t>Изменения по  муниципальному правовому акту о бюджете от 20.07.2022 № 335-МПА (первоначальный), тыс. руб.</t>
  </si>
  <si>
    <t>Изменения по  муниципальному правовому акту о бюджете от 28.09.2022 № 1-МПА (первоначальный), тыс. руб.</t>
  </si>
  <si>
    <t>Изменения по  муниципальному правовому акту о бюджете от 01.12.2022 № 10-МПА (первоначальный), тыс. руб.</t>
  </si>
  <si>
    <t>Изменения по муниципальному правовому акту о бюджете от 28.12.20221 №18-МПА (уточненный), тыс. руб.</t>
  </si>
  <si>
    <t>Уточненный план по муниципальному правовому акту о бюджете от 28.12.20221 №18-МПА (уточненный), тыс. руб.</t>
  </si>
  <si>
    <t>Сведения о внесенных изменениях в МПА о бюджете в 2022 году в части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</si>
</sst>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\.mm\.yyyy"/>
    <numFmt numFmtId="165" formatCode="#,##0.00_ ;\-#,##0.00"/>
    <numFmt numFmtId="166" formatCode="#,##0.00000"/>
  </numFmts>
  <fonts count="38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4">
    <xf numFmtId="0" fontId="0" fillId="0" borderId="0"/>
    <xf numFmtId="0" fontId="2" fillId="0" borderId="1"/>
    <xf numFmtId="0" fontId="3" fillId="0" borderId="1">
      <alignment horizontal="center"/>
    </xf>
    <xf numFmtId="0" fontId="4" fillId="0" borderId="2">
      <alignment horizontal="center"/>
    </xf>
    <xf numFmtId="0" fontId="5" fillId="0" borderId="1">
      <alignment horizontal="right"/>
    </xf>
    <xf numFmtId="0" fontId="3" fillId="0" borderId="1"/>
    <xf numFmtId="0" fontId="6" fillId="0" borderId="1"/>
    <xf numFmtId="0" fontId="6" fillId="0" borderId="3"/>
    <xf numFmtId="0" fontId="4" fillId="0" borderId="4">
      <alignment horizontal="center"/>
    </xf>
    <xf numFmtId="0" fontId="5" fillId="0" borderId="5">
      <alignment horizontal="right"/>
    </xf>
    <xf numFmtId="0" fontId="4" fillId="0" borderId="1"/>
    <xf numFmtId="0" fontId="4" fillId="0" borderId="6">
      <alignment horizontal="right"/>
    </xf>
    <xf numFmtId="49" fontId="4" fillId="0" borderId="7">
      <alignment horizontal="center"/>
    </xf>
    <xf numFmtId="0" fontId="5" fillId="0" borderId="8">
      <alignment horizontal="right"/>
    </xf>
    <xf numFmtId="0" fontId="7" fillId="0" borderId="1"/>
    <xf numFmtId="164" fontId="4" fillId="0" borderId="9">
      <alignment horizontal="center"/>
    </xf>
    <xf numFmtId="0" fontId="4" fillId="0" borderId="1">
      <alignment horizontal="left"/>
    </xf>
    <xf numFmtId="49" fontId="4" fillId="0" borderId="1"/>
    <xf numFmtId="49" fontId="4" fillId="0" borderId="6">
      <alignment horizontal="right" vertical="center"/>
    </xf>
    <xf numFmtId="49" fontId="4" fillId="0" borderId="9">
      <alignment horizontal="center" vertical="center"/>
    </xf>
    <xf numFmtId="0" fontId="4" fillId="0" borderId="2">
      <alignment horizontal="left" wrapText="1"/>
    </xf>
    <xf numFmtId="49" fontId="4" fillId="0" borderId="9">
      <alignment horizontal="center"/>
    </xf>
    <xf numFmtId="0" fontId="4" fillId="0" borderId="10">
      <alignment horizontal="left" wrapText="1"/>
    </xf>
    <xf numFmtId="49" fontId="4" fillId="0" borderId="6">
      <alignment horizontal="right"/>
    </xf>
    <xf numFmtId="0" fontId="4" fillId="0" borderId="11">
      <alignment horizontal="left"/>
    </xf>
    <xf numFmtId="49" fontId="4" fillId="0" borderId="11"/>
    <xf numFmtId="49" fontId="4" fillId="0" borderId="6"/>
    <xf numFmtId="49" fontId="4" fillId="0" borderId="12">
      <alignment horizontal="center"/>
    </xf>
    <xf numFmtId="0" fontId="3" fillId="0" borderId="2">
      <alignment horizontal="center"/>
    </xf>
    <xf numFmtId="0" fontId="4" fillId="0" borderId="13">
      <alignment horizontal="center" vertical="top" wrapText="1"/>
    </xf>
    <xf numFmtId="49" fontId="4" fillId="0" borderId="13">
      <alignment horizontal="center" vertical="top" wrapText="1"/>
    </xf>
    <xf numFmtId="0" fontId="2" fillId="0" borderId="14"/>
    <xf numFmtId="0" fontId="2" fillId="0" borderId="5"/>
    <xf numFmtId="0" fontId="4" fillId="0" borderId="13">
      <alignment horizontal="center" vertical="center"/>
    </xf>
    <xf numFmtId="0" fontId="4" fillId="0" borderId="4">
      <alignment horizontal="center" vertical="center"/>
    </xf>
    <xf numFmtId="49" fontId="4" fillId="0" borderId="4">
      <alignment horizontal="center" vertical="center"/>
    </xf>
    <xf numFmtId="0" fontId="4" fillId="0" borderId="15">
      <alignment horizontal="left" wrapText="1"/>
    </xf>
    <xf numFmtId="49" fontId="4" fillId="0" borderId="16">
      <alignment horizontal="center" wrapText="1"/>
    </xf>
    <xf numFmtId="49" fontId="4" fillId="0" borderId="17">
      <alignment horizontal="center"/>
    </xf>
    <xf numFmtId="4" fontId="4" fillId="0" borderId="17">
      <alignment horizontal="right" shrinkToFit="1"/>
    </xf>
    <xf numFmtId="0" fontId="4" fillId="0" borderId="18">
      <alignment horizontal="left" wrapText="1"/>
    </xf>
    <xf numFmtId="49" fontId="4" fillId="0" borderId="19">
      <alignment horizontal="center" shrinkToFit="1"/>
    </xf>
    <xf numFmtId="49" fontId="4" fillId="0" borderId="20">
      <alignment horizontal="center"/>
    </xf>
    <xf numFmtId="4" fontId="4" fillId="0" borderId="20">
      <alignment horizontal="right" shrinkToFit="1"/>
    </xf>
    <xf numFmtId="0" fontId="4" fillId="0" borderId="21">
      <alignment horizontal="left" wrapText="1" indent="2"/>
    </xf>
    <xf numFmtId="49" fontId="4" fillId="0" borderId="22">
      <alignment horizontal="center" shrinkToFit="1"/>
    </xf>
    <xf numFmtId="49" fontId="4" fillId="0" borderId="23">
      <alignment horizontal="center"/>
    </xf>
    <xf numFmtId="4" fontId="4" fillId="0" borderId="23">
      <alignment horizontal="right" shrinkToFit="1"/>
    </xf>
    <xf numFmtId="49" fontId="4" fillId="0" borderId="1">
      <alignment horizontal="right"/>
    </xf>
    <xf numFmtId="0" fontId="3" fillId="0" borderId="5">
      <alignment horizontal="center"/>
    </xf>
    <xf numFmtId="0" fontId="4" fillId="0" borderId="4">
      <alignment horizontal="center" vertical="center" shrinkToFit="1"/>
    </xf>
    <xf numFmtId="49" fontId="4" fillId="0" borderId="4">
      <alignment horizontal="center" vertical="center" shrinkToFit="1"/>
    </xf>
    <xf numFmtId="49" fontId="2" fillId="0" borderId="5"/>
    <xf numFmtId="0" fontId="4" fillId="0" borderId="16">
      <alignment horizontal="center" shrinkToFit="1"/>
    </xf>
    <xf numFmtId="4" fontId="4" fillId="0" borderId="24">
      <alignment horizontal="right" shrinkToFit="1"/>
    </xf>
    <xf numFmtId="49" fontId="2" fillId="0" borderId="8"/>
    <xf numFmtId="0" fontId="4" fillId="0" borderId="19">
      <alignment horizontal="center" shrinkToFit="1"/>
    </xf>
    <xf numFmtId="165" fontId="4" fillId="0" borderId="20">
      <alignment horizontal="right" shrinkToFit="1"/>
    </xf>
    <xf numFmtId="165" fontId="4" fillId="0" borderId="25">
      <alignment horizontal="right" shrinkToFit="1"/>
    </xf>
    <xf numFmtId="0" fontId="4" fillId="0" borderId="26">
      <alignment horizontal="left" wrapText="1"/>
    </xf>
    <xf numFmtId="49" fontId="4" fillId="0" borderId="22">
      <alignment horizontal="center" wrapText="1"/>
    </xf>
    <xf numFmtId="49" fontId="4" fillId="0" borderId="23">
      <alignment horizontal="center" wrapText="1"/>
    </xf>
    <xf numFmtId="4" fontId="4" fillId="0" borderId="23">
      <alignment horizontal="right" wrapText="1"/>
    </xf>
    <xf numFmtId="4" fontId="4" fillId="0" borderId="21">
      <alignment horizontal="right" wrapText="1"/>
    </xf>
    <xf numFmtId="0" fontId="2" fillId="0" borderId="8">
      <alignment wrapText="1"/>
    </xf>
    <xf numFmtId="0" fontId="4" fillId="0" borderId="27">
      <alignment horizontal="left" wrapText="1"/>
    </xf>
    <xf numFmtId="49" fontId="4" fillId="0" borderId="28">
      <alignment horizontal="center" shrinkToFit="1"/>
    </xf>
    <xf numFmtId="49" fontId="4" fillId="0" borderId="29">
      <alignment horizontal="center"/>
    </xf>
    <xf numFmtId="4" fontId="4" fillId="0" borderId="29">
      <alignment horizontal="right" shrinkToFit="1"/>
    </xf>
    <xf numFmtId="49" fontId="4" fillId="0" borderId="30">
      <alignment horizontal="center"/>
    </xf>
    <xf numFmtId="0" fontId="2" fillId="0" borderId="8"/>
    <xf numFmtId="0" fontId="7" fillId="0" borderId="11"/>
    <xf numFmtId="0" fontId="7" fillId="0" borderId="31"/>
    <xf numFmtId="0" fontId="4" fillId="0" borderId="1">
      <alignment wrapText="1"/>
    </xf>
    <xf numFmtId="49" fontId="4" fillId="0" borderId="1">
      <alignment wrapText="1"/>
    </xf>
    <xf numFmtId="49" fontId="4" fillId="0" borderId="1">
      <alignment horizontal="center"/>
    </xf>
    <xf numFmtId="49" fontId="8" fillId="0" borderId="1"/>
    <xf numFmtId="0" fontId="4" fillId="0" borderId="2">
      <alignment horizontal="left"/>
    </xf>
    <xf numFmtId="49" fontId="4" fillId="0" borderId="2">
      <alignment horizontal="left"/>
    </xf>
    <xf numFmtId="0" fontId="4" fillId="0" borderId="2">
      <alignment horizontal="center" shrinkToFit="1"/>
    </xf>
    <xf numFmtId="49" fontId="4" fillId="0" borderId="2">
      <alignment horizontal="center" vertical="center" shrinkToFit="1"/>
    </xf>
    <xf numFmtId="49" fontId="2" fillId="0" borderId="2">
      <alignment shrinkToFit="1"/>
    </xf>
    <xf numFmtId="49" fontId="4" fillId="0" borderId="2">
      <alignment horizontal="right"/>
    </xf>
    <xf numFmtId="0" fontId="4" fillId="0" borderId="16">
      <alignment horizontal="center" vertical="center" shrinkToFit="1"/>
    </xf>
    <xf numFmtId="49" fontId="4" fillId="0" borderId="17">
      <alignment horizontal="center" vertical="center"/>
    </xf>
    <xf numFmtId="0" fontId="4" fillId="0" borderId="15">
      <alignment horizontal="left" wrapText="1" indent="2"/>
    </xf>
    <xf numFmtId="0" fontId="4" fillId="0" borderId="32">
      <alignment horizontal="center" vertical="center" shrinkToFit="1"/>
    </xf>
    <xf numFmtId="49" fontId="4" fillId="0" borderId="13">
      <alignment horizontal="center" vertical="center"/>
    </xf>
    <xf numFmtId="165" fontId="4" fillId="0" borderId="13">
      <alignment horizontal="right" vertical="center" shrinkToFit="1"/>
    </xf>
    <xf numFmtId="165" fontId="4" fillId="0" borderId="27">
      <alignment horizontal="right" vertical="center" shrinkToFit="1"/>
    </xf>
    <xf numFmtId="0" fontId="4" fillId="0" borderId="33">
      <alignment horizontal="left" wrapText="1"/>
    </xf>
    <xf numFmtId="4" fontId="4" fillId="0" borderId="13">
      <alignment horizontal="right" shrinkToFit="1"/>
    </xf>
    <xf numFmtId="4" fontId="4" fillId="0" borderId="27">
      <alignment horizontal="right" shrinkToFit="1"/>
    </xf>
    <xf numFmtId="0" fontId="4" fillId="0" borderId="18">
      <alignment horizontal="left" wrapText="1" indent="2"/>
    </xf>
    <xf numFmtId="0" fontId="9" fillId="0" borderId="27">
      <alignment wrapText="1"/>
    </xf>
    <xf numFmtId="0" fontId="9" fillId="0" borderId="27"/>
    <xf numFmtId="0" fontId="9" fillId="2" borderId="27">
      <alignment wrapText="1"/>
    </xf>
    <xf numFmtId="0" fontId="4" fillId="2" borderId="26">
      <alignment horizontal="left" wrapText="1"/>
    </xf>
    <xf numFmtId="49" fontId="4" fillId="0" borderId="27">
      <alignment horizontal="center" shrinkToFit="1"/>
    </xf>
    <xf numFmtId="49" fontId="4" fillId="0" borderId="13">
      <alignment horizontal="center" vertical="center" shrinkToFit="1"/>
    </xf>
    <xf numFmtId="0" fontId="2" fillId="0" borderId="11">
      <alignment horizontal="left"/>
    </xf>
    <xf numFmtId="0" fontId="2" fillId="0" borderId="31">
      <alignment horizontal="left" wrapText="1"/>
    </xf>
    <xf numFmtId="0" fontId="2" fillId="0" borderId="31">
      <alignment horizontal="left"/>
    </xf>
    <xf numFmtId="0" fontId="4" fillId="0" borderId="31"/>
    <xf numFmtId="49" fontId="2" fillId="0" borderId="31"/>
    <xf numFmtId="49" fontId="2" fillId="0" borderId="31"/>
    <xf numFmtId="0" fontId="2" fillId="0" borderId="1">
      <alignment horizontal="left"/>
    </xf>
    <xf numFmtId="0" fontId="2" fillId="0" borderId="1">
      <alignment horizontal="left" wrapText="1"/>
    </xf>
    <xf numFmtId="0" fontId="2" fillId="0" borderId="1">
      <alignment horizontal="left"/>
    </xf>
    <xf numFmtId="0" fontId="4" fillId="0" borderId="1"/>
    <xf numFmtId="49" fontId="2" fillId="0" borderId="1"/>
    <xf numFmtId="49" fontId="2" fillId="0" borderId="1"/>
    <xf numFmtId="0" fontId="4" fillId="0" borderId="1">
      <alignment horizontal="center" wrapText="1"/>
    </xf>
    <xf numFmtId="0" fontId="4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2" fillId="0" borderId="1">
      <alignment horizontal="left"/>
    </xf>
    <xf numFmtId="0" fontId="2" fillId="0" borderId="1">
      <alignment horizontal="center"/>
    </xf>
    <xf numFmtId="0" fontId="8" fillId="0" borderId="1">
      <alignment horizontal="left"/>
    </xf>
    <xf numFmtId="49" fontId="2" fillId="0" borderId="1"/>
    <xf numFmtId="49" fontId="4" fillId="0" borderId="1">
      <alignment horizontal="left"/>
    </xf>
    <xf numFmtId="49" fontId="4" fillId="0" borderId="1">
      <alignment horizontal="center" wrapText="1"/>
    </xf>
    <xf numFmtId="0" fontId="4" fillId="0" borderId="1">
      <alignment horizontal="center"/>
    </xf>
    <xf numFmtId="0" fontId="10" fillId="0" borderId="11">
      <alignment horizontal="center"/>
    </xf>
    <xf numFmtId="0" fontId="7" fillId="0" borderId="1"/>
    <xf numFmtId="0" fontId="10" fillId="0" borderId="1">
      <alignment horizontal="center"/>
    </xf>
    <xf numFmtId="0" fontId="7" fillId="0" borderId="1"/>
    <xf numFmtId="0" fontId="10" fillId="0" borderId="1">
      <alignment horizontal="center"/>
    </xf>
    <xf numFmtId="0" fontId="4" fillId="0" borderId="1">
      <alignment horizontal="center" wrapText="1"/>
    </xf>
    <xf numFmtId="0" fontId="9" fillId="0" borderId="1"/>
    <xf numFmtId="0" fontId="11" fillId="0" borderId="2"/>
    <xf numFmtId="0" fontId="11" fillId="0" borderId="1"/>
    <xf numFmtId="0" fontId="2" fillId="0" borderId="2"/>
    <xf numFmtId="0" fontId="2" fillId="0" borderId="13">
      <alignment horizontal="left" wrapText="1"/>
    </xf>
    <xf numFmtId="0" fontId="2" fillId="0" borderId="11"/>
    <xf numFmtId="0" fontId="13" fillId="0" borderId="0"/>
    <xf numFmtId="0" fontId="13" fillId="0" borderId="0"/>
    <xf numFmtId="0" fontId="13" fillId="0" borderId="0"/>
    <xf numFmtId="0" fontId="11" fillId="0" borderId="1"/>
    <xf numFmtId="0" fontId="11" fillId="0" borderId="1"/>
    <xf numFmtId="0" fontId="12" fillId="3" borderId="1"/>
    <xf numFmtId="0" fontId="2" fillId="0" borderId="13">
      <alignment horizontal="left"/>
    </xf>
    <xf numFmtId="0" fontId="1" fillId="0" borderId="1"/>
    <xf numFmtId="0" fontId="20" fillId="0" borderId="1"/>
    <xf numFmtId="0" fontId="1" fillId="5" borderId="1" applyNumberFormat="0" applyBorder="0" applyAlignment="0" applyProtection="0"/>
    <xf numFmtId="0" fontId="1" fillId="5" borderId="1" applyNumberFormat="0" applyBorder="0" applyAlignment="0" applyProtection="0"/>
    <xf numFmtId="0" fontId="1" fillId="5" borderId="1" applyNumberFormat="0" applyBorder="0" applyAlignment="0" applyProtection="0"/>
    <xf numFmtId="0" fontId="1" fillId="7" borderId="1" applyNumberFormat="0" applyBorder="0" applyAlignment="0" applyProtection="0"/>
    <xf numFmtId="0" fontId="1" fillId="7" borderId="1" applyNumberFormat="0" applyBorder="0" applyAlignment="0" applyProtection="0"/>
    <xf numFmtId="0" fontId="1" fillId="7" borderId="1" applyNumberFormat="0" applyBorder="0" applyAlignment="0" applyProtection="0"/>
    <xf numFmtId="0" fontId="1" fillId="9" borderId="1" applyNumberFormat="0" applyBorder="0" applyAlignment="0" applyProtection="0"/>
    <xf numFmtId="0" fontId="1" fillId="9" borderId="1" applyNumberFormat="0" applyBorder="0" applyAlignment="0" applyProtection="0"/>
    <xf numFmtId="0" fontId="1" fillId="9" borderId="1" applyNumberFormat="0" applyBorder="0" applyAlignment="0" applyProtection="0"/>
    <xf numFmtId="0" fontId="1" fillId="11" borderId="1" applyNumberFormat="0" applyBorder="0" applyAlignment="0" applyProtection="0"/>
    <xf numFmtId="0" fontId="1" fillId="11" borderId="1" applyNumberFormat="0" applyBorder="0" applyAlignment="0" applyProtection="0"/>
    <xf numFmtId="0" fontId="1" fillId="11" borderId="1" applyNumberFormat="0" applyBorder="0" applyAlignment="0" applyProtection="0"/>
    <xf numFmtId="0" fontId="1" fillId="13" borderId="1" applyNumberFormat="0" applyBorder="0" applyAlignment="0" applyProtection="0"/>
    <xf numFmtId="0" fontId="1" fillId="13" borderId="1" applyNumberFormat="0" applyBorder="0" applyAlignment="0" applyProtection="0"/>
    <xf numFmtId="0" fontId="1" fillId="13" borderId="1" applyNumberFormat="0" applyBorder="0" applyAlignment="0" applyProtection="0"/>
    <xf numFmtId="0" fontId="1" fillId="15" borderId="1" applyNumberFormat="0" applyBorder="0" applyAlignment="0" applyProtection="0"/>
    <xf numFmtId="0" fontId="1" fillId="15" borderId="1" applyNumberFormat="0" applyBorder="0" applyAlignment="0" applyProtection="0"/>
    <xf numFmtId="0" fontId="1" fillId="15" borderId="1" applyNumberFormat="0" applyBorder="0" applyAlignment="0" applyProtection="0"/>
    <xf numFmtId="0" fontId="1" fillId="6" borderId="1" applyNumberFormat="0" applyBorder="0" applyAlignment="0" applyProtection="0"/>
    <xf numFmtId="0" fontId="1" fillId="6" borderId="1" applyNumberFormat="0" applyBorder="0" applyAlignment="0" applyProtection="0"/>
    <xf numFmtId="0" fontId="1" fillId="6" borderId="1" applyNumberFormat="0" applyBorder="0" applyAlignment="0" applyProtection="0"/>
    <xf numFmtId="0" fontId="1" fillId="8" borderId="1" applyNumberFormat="0" applyBorder="0" applyAlignment="0" applyProtection="0"/>
    <xf numFmtId="0" fontId="1" fillId="8" borderId="1" applyNumberFormat="0" applyBorder="0" applyAlignment="0" applyProtection="0"/>
    <xf numFmtId="0" fontId="1" fillId="8" borderId="1" applyNumberFormat="0" applyBorder="0" applyAlignment="0" applyProtection="0"/>
    <xf numFmtId="0" fontId="1" fillId="10" borderId="1" applyNumberFormat="0" applyBorder="0" applyAlignment="0" applyProtection="0"/>
    <xf numFmtId="0" fontId="1" fillId="10" borderId="1" applyNumberFormat="0" applyBorder="0" applyAlignment="0" applyProtection="0"/>
    <xf numFmtId="0" fontId="1" fillId="10" borderId="1" applyNumberFormat="0" applyBorder="0" applyAlignment="0" applyProtection="0"/>
    <xf numFmtId="0" fontId="1" fillId="12" borderId="1" applyNumberFormat="0" applyBorder="0" applyAlignment="0" applyProtection="0"/>
    <xf numFmtId="0" fontId="1" fillId="12" borderId="1" applyNumberFormat="0" applyBorder="0" applyAlignment="0" applyProtection="0"/>
    <xf numFmtId="0" fontId="1" fillId="12" borderId="1" applyNumberFormat="0" applyBorder="0" applyAlignment="0" applyProtection="0"/>
    <xf numFmtId="0" fontId="1" fillId="14" borderId="1" applyNumberFormat="0" applyBorder="0" applyAlignment="0" applyProtection="0"/>
    <xf numFmtId="0" fontId="1" fillId="14" borderId="1" applyNumberFormat="0" applyBorder="0" applyAlignment="0" applyProtection="0"/>
    <xf numFmtId="0" fontId="1" fillId="14" borderId="1" applyNumberFormat="0" applyBorder="0" applyAlignment="0" applyProtection="0"/>
    <xf numFmtId="0" fontId="1" fillId="16" borderId="1" applyNumberFormat="0" applyBorder="0" applyAlignment="0" applyProtection="0"/>
    <xf numFmtId="0" fontId="1" fillId="16" borderId="1" applyNumberFormat="0" applyBorder="0" applyAlignment="0" applyProtection="0"/>
    <xf numFmtId="0" fontId="1" fillId="16" borderId="1" applyNumberFormat="0" applyBorder="0" applyAlignment="0" applyProtection="0"/>
    <xf numFmtId="0" fontId="18" fillId="0" borderId="1" applyNumberFormat="0" applyFill="0" applyBorder="0" applyAlignment="0" applyProtection="0"/>
    <xf numFmtId="0" fontId="1" fillId="0" borderId="1"/>
    <xf numFmtId="0" fontId="25" fillId="0" borderId="1"/>
    <xf numFmtId="0" fontId="26" fillId="17" borderId="1"/>
    <xf numFmtId="0" fontId="25" fillId="17" borderId="1"/>
    <xf numFmtId="0" fontId="25" fillId="17" borderId="1"/>
    <xf numFmtId="0" fontId="27" fillId="0" borderId="1"/>
    <xf numFmtId="0" fontId="28" fillId="4" borderId="35" applyNumberFormat="0" applyFont="0" applyAlignment="0" applyProtection="0"/>
    <xf numFmtId="0" fontId="28" fillId="4" borderId="35" applyNumberFormat="0" applyFont="0" applyAlignment="0" applyProtection="0"/>
    <xf numFmtId="0" fontId="28" fillId="4" borderId="35" applyNumberFormat="0" applyFont="0" applyAlignment="0" applyProtection="0"/>
    <xf numFmtId="0" fontId="1" fillId="4" borderId="35" applyNumberFormat="0" applyFont="0" applyAlignment="0" applyProtection="0"/>
    <xf numFmtId="9" fontId="27" fillId="0" borderId="1" applyFont="0" applyFill="0" applyBorder="0" applyAlignment="0" applyProtection="0"/>
    <xf numFmtId="43" fontId="20" fillId="0" borderId="1" applyFont="0" applyFill="0" applyBorder="0" applyAlignment="0" applyProtection="0"/>
    <xf numFmtId="0" fontId="13" fillId="0" borderId="1"/>
  </cellStyleXfs>
  <cellXfs count="67">
    <xf numFmtId="0" fontId="0" fillId="0" borderId="0" xfId="0"/>
    <xf numFmtId="0" fontId="1" fillId="0" borderId="1" xfId="142"/>
    <xf numFmtId="0" fontId="15" fillId="0" borderId="1" xfId="142" applyFont="1"/>
    <xf numFmtId="0" fontId="21" fillId="0" borderId="1" xfId="143" applyFont="1" applyFill="1" applyAlignment="1">
      <alignment vertical="center" wrapText="1"/>
    </xf>
    <xf numFmtId="0" fontId="22" fillId="0" borderId="34" xfId="143" applyFont="1" applyFill="1" applyBorder="1" applyAlignment="1">
      <alignment horizontal="center" vertical="center" wrapText="1"/>
    </xf>
    <xf numFmtId="2" fontId="22" fillId="0" borderId="34" xfId="142" applyNumberFormat="1" applyFont="1" applyBorder="1" applyAlignment="1">
      <alignment horizontal="center" vertical="center" wrapText="1"/>
    </xf>
    <xf numFmtId="0" fontId="22" fillId="0" borderId="34" xfId="142" applyFont="1" applyBorder="1" applyAlignment="1">
      <alignment horizontal="center" vertical="center"/>
    </xf>
    <xf numFmtId="49" fontId="23" fillId="0" borderId="13" xfId="143" applyNumberFormat="1" applyFont="1" applyFill="1" applyBorder="1" applyAlignment="1">
      <alignment horizontal="center" vertical="top" wrapText="1"/>
    </xf>
    <xf numFmtId="0" fontId="23" fillId="0" borderId="13" xfId="143" applyFont="1" applyFill="1" applyBorder="1" applyAlignment="1">
      <alignment horizontal="justify" vertical="top" wrapText="1"/>
    </xf>
    <xf numFmtId="4" fontId="19" fillId="0" borderId="34" xfId="142" applyNumberFormat="1" applyFont="1" applyBorder="1" applyAlignment="1">
      <alignment horizontal="right" vertical="top"/>
    </xf>
    <xf numFmtId="4" fontId="24" fillId="0" borderId="34" xfId="142" applyNumberFormat="1" applyFont="1" applyBorder="1" applyAlignment="1">
      <alignment horizontal="right" vertical="top"/>
    </xf>
    <xf numFmtId="49" fontId="5" fillId="0" borderId="13" xfId="143" applyNumberFormat="1" applyFont="1" applyFill="1" applyBorder="1" applyAlignment="1">
      <alignment horizontal="center" vertical="top" wrapText="1"/>
    </xf>
    <xf numFmtId="0" fontId="5" fillId="0" borderId="13" xfId="143" applyFont="1" applyFill="1" applyBorder="1" applyAlignment="1">
      <alignment horizontal="justify" vertical="top" wrapText="1"/>
    </xf>
    <xf numFmtId="4" fontId="17" fillId="0" borderId="34" xfId="143" applyNumberFormat="1" applyFont="1" applyFill="1" applyBorder="1" applyAlignment="1">
      <alignment vertical="top" wrapText="1"/>
    </xf>
    <xf numFmtId="4" fontId="17" fillId="0" borderId="34" xfId="143" applyNumberFormat="1" applyFont="1" applyFill="1" applyBorder="1" applyAlignment="1">
      <alignment vertical="top"/>
    </xf>
    <xf numFmtId="4" fontId="15" fillId="0" borderId="34" xfId="142" applyNumberFormat="1" applyFont="1" applyBorder="1" applyAlignment="1">
      <alignment horizontal="right" vertical="top"/>
    </xf>
    <xf numFmtId="4" fontId="14" fillId="0" borderId="34" xfId="142" applyNumberFormat="1" applyFont="1" applyBorder="1" applyAlignment="1">
      <alignment horizontal="right" vertical="top"/>
    </xf>
    <xf numFmtId="4" fontId="15" fillId="0" borderId="34" xfId="142" applyNumberFormat="1" applyFont="1" applyBorder="1" applyAlignment="1">
      <alignment vertical="top"/>
    </xf>
    <xf numFmtId="4" fontId="19" fillId="0" borderId="34" xfId="142" applyNumberFormat="1" applyFont="1" applyBorder="1" applyAlignment="1">
      <alignment vertical="top"/>
    </xf>
    <xf numFmtId="4" fontId="15" fillId="0" borderId="34" xfId="142" applyNumberFormat="1" applyFont="1" applyBorder="1"/>
    <xf numFmtId="4" fontId="19" fillId="0" borderId="34" xfId="142" applyNumberFormat="1" applyFont="1" applyBorder="1"/>
    <xf numFmtId="0" fontId="19" fillId="0" borderId="34" xfId="143" applyFont="1" applyFill="1" applyBorder="1" applyAlignment="1">
      <alignment horizontal="center" vertical="top" wrapText="1"/>
    </xf>
    <xf numFmtId="0" fontId="19" fillId="0" borderId="34" xfId="143" applyFont="1" applyFill="1" applyBorder="1" applyAlignment="1">
      <alignment horizontal="justify" vertical="top" wrapText="1"/>
    </xf>
    <xf numFmtId="4" fontId="19" fillId="0" borderId="34" xfId="143" applyNumberFormat="1" applyFont="1" applyFill="1" applyBorder="1" applyAlignment="1">
      <alignment horizontal="right" vertical="top" wrapText="1"/>
    </xf>
    <xf numFmtId="4" fontId="29" fillId="0" borderId="34" xfId="143" applyNumberFormat="1" applyFont="1" applyFill="1" applyBorder="1" applyAlignment="1">
      <alignment vertical="top" wrapText="1"/>
    </xf>
    <xf numFmtId="4" fontId="24" fillId="0" borderId="34" xfId="142" applyNumberFormat="1" applyFont="1" applyBorder="1"/>
    <xf numFmtId="4" fontId="24" fillId="0" borderId="34" xfId="142" applyNumberFormat="1" applyFont="1" applyBorder="1" applyAlignment="1">
      <alignment vertical="top"/>
    </xf>
    <xf numFmtId="0" fontId="23" fillId="0" borderId="9" xfId="19" applyNumberFormat="1" applyFont="1" applyAlignment="1" applyProtection="1">
      <alignment vertical="top" wrapText="1"/>
    </xf>
    <xf numFmtId="0" fontId="5" fillId="0" borderId="9" xfId="19" applyNumberFormat="1" applyFont="1" applyAlignment="1" applyProtection="1">
      <alignment vertical="top" wrapText="1"/>
    </xf>
    <xf numFmtId="4" fontId="31" fillId="18" borderId="2" xfId="28" applyNumberFormat="1" applyFont="1" applyFill="1" applyAlignment="1" applyProtection="1">
      <alignment horizontal="right" vertical="top" shrinkToFit="1"/>
    </xf>
    <xf numFmtId="4" fontId="30" fillId="18" borderId="2" xfId="28" applyNumberFormat="1" applyFont="1" applyFill="1" applyAlignment="1" applyProtection="1">
      <alignment horizontal="right" vertical="top" shrinkToFit="1"/>
    </xf>
    <xf numFmtId="4" fontId="15" fillId="0" borderId="34" xfId="142" applyNumberFormat="1" applyFont="1" applyFill="1" applyBorder="1" applyAlignment="1">
      <alignment horizontal="right" vertical="top"/>
    </xf>
    <xf numFmtId="4" fontId="17" fillId="18" borderId="34" xfId="143" applyNumberFormat="1" applyFont="1" applyFill="1" applyBorder="1" applyAlignment="1">
      <alignment vertical="top" wrapText="1"/>
    </xf>
    <xf numFmtId="0" fontId="21" fillId="0" borderId="1" xfId="143" applyFont="1" applyFill="1" applyAlignment="1">
      <alignment horizontal="center" vertical="center" wrapText="1"/>
    </xf>
    <xf numFmtId="0" fontId="16" fillId="0" borderId="1" xfId="193" applyFont="1" applyFill="1" applyBorder="1" applyAlignment="1">
      <alignment horizontal="center" vertical="center" wrapText="1"/>
    </xf>
    <xf numFmtId="0" fontId="16" fillId="18" borderId="1" xfId="193" applyFont="1" applyFill="1" applyBorder="1" applyAlignment="1">
      <alignment horizontal="center" vertical="center" wrapText="1"/>
    </xf>
    <xf numFmtId="0" fontId="16" fillId="18" borderId="34" xfId="193" applyFont="1" applyFill="1" applyBorder="1" applyAlignment="1">
      <alignment horizontal="center" vertical="center" wrapText="1"/>
    </xf>
    <xf numFmtId="0" fontId="17" fillId="18" borderId="34" xfId="193" applyFont="1" applyFill="1" applyBorder="1" applyAlignment="1">
      <alignment horizontal="center" vertical="center" wrapText="1"/>
    </xf>
    <xf numFmtId="0" fontId="17" fillId="0" borderId="1" xfId="193" applyFont="1" applyFill="1" applyProtection="1">
      <protection locked="0"/>
    </xf>
    <xf numFmtId="49" fontId="33" fillId="18" borderId="1" xfId="30" applyNumberFormat="1" applyFont="1" applyFill="1" applyBorder="1" applyProtection="1">
      <alignment horizontal="center" vertical="top" wrapText="1"/>
    </xf>
    <xf numFmtId="0" fontId="17" fillId="0" borderId="1" xfId="14" applyNumberFormat="1" applyFont="1" applyFill="1" applyProtection="1"/>
    <xf numFmtId="166" fontId="17" fillId="18" borderId="1" xfId="14" applyNumberFormat="1" applyFont="1" applyFill="1" applyProtection="1"/>
    <xf numFmtId="0" fontId="17" fillId="18" borderId="1" xfId="14" applyNumberFormat="1" applyFont="1" applyFill="1" applyProtection="1"/>
    <xf numFmtId="0" fontId="17" fillId="18" borderId="1" xfId="193" applyFont="1" applyFill="1" applyProtection="1">
      <protection locked="0"/>
    </xf>
    <xf numFmtId="49" fontId="35" fillId="18" borderId="34" xfId="46" applyNumberFormat="1" applyFont="1" applyFill="1" applyBorder="1" applyAlignment="1" applyProtection="1">
      <alignment horizontal="center" vertical="center"/>
    </xf>
    <xf numFmtId="0" fontId="37" fillId="0" borderId="1" xfId="2" applyNumberFormat="1" applyFont="1" applyFill="1" applyAlignment="1" applyProtection="1">
      <alignment horizontal="center"/>
    </xf>
    <xf numFmtId="0" fontId="29" fillId="0" borderId="1" xfId="193" applyFont="1" applyFill="1" applyAlignment="1" applyProtection="1">
      <alignment vertical="center"/>
      <protection locked="0"/>
    </xf>
    <xf numFmtId="166" fontId="17" fillId="0" borderId="1" xfId="193" applyNumberFormat="1" applyFont="1" applyFill="1" applyAlignment="1" applyProtection="1">
      <alignment vertical="center"/>
      <protection locked="0"/>
    </xf>
    <xf numFmtId="166" fontId="29" fillId="0" borderId="1" xfId="193" applyNumberFormat="1" applyFont="1" applyFill="1" applyAlignment="1" applyProtection="1">
      <alignment vertical="center"/>
      <protection locked="0"/>
    </xf>
    <xf numFmtId="0" fontId="17" fillId="0" borderId="1" xfId="193" applyFont="1" applyFill="1" applyAlignment="1" applyProtection="1">
      <alignment vertical="center"/>
      <protection locked="0"/>
    </xf>
    <xf numFmtId="0" fontId="35" fillId="18" borderId="34" xfId="44" applyNumberFormat="1" applyFont="1" applyFill="1" applyBorder="1" applyAlignment="1" applyProtection="1">
      <alignment horizontal="left" vertical="center" wrapText="1"/>
    </xf>
    <xf numFmtId="166" fontId="16" fillId="18" borderId="34" xfId="47" applyNumberFormat="1" applyFont="1" applyFill="1" applyBorder="1" applyAlignment="1" applyProtection="1">
      <alignment vertical="center" shrinkToFit="1"/>
    </xf>
    <xf numFmtId="4" fontId="17" fillId="0" borderId="1" xfId="193" applyNumberFormat="1" applyFont="1" applyFill="1" applyAlignment="1" applyProtection="1">
      <alignment vertical="center"/>
      <protection locked="0"/>
    </xf>
    <xf numFmtId="166" fontId="16" fillId="18" borderId="34" xfId="44" applyNumberFormat="1" applyFont="1" applyFill="1" applyBorder="1" applyAlignment="1" applyProtection="1">
      <alignment vertical="center" wrapText="1"/>
    </xf>
    <xf numFmtId="1" fontId="35" fillId="18" borderId="34" xfId="42" applyNumberFormat="1" applyFont="1" applyFill="1" applyBorder="1" applyAlignment="1" applyProtection="1">
      <alignment horizontal="left" vertical="center" wrapText="1" shrinkToFit="1"/>
    </xf>
    <xf numFmtId="166" fontId="16" fillId="18" borderId="34" xfId="193" applyNumberFormat="1" applyFont="1" applyFill="1" applyBorder="1" applyAlignment="1" applyProtection="1">
      <alignment vertical="center"/>
      <protection locked="0"/>
    </xf>
    <xf numFmtId="166" fontId="16" fillId="18" borderId="34" xfId="47" applyNumberFormat="1" applyFont="1" applyFill="1" applyBorder="1" applyAlignment="1" applyProtection="1">
      <alignment horizontal="right" vertical="center" shrinkToFit="1"/>
    </xf>
    <xf numFmtId="49" fontId="34" fillId="18" borderId="34" xfId="38" applyNumberFormat="1" applyFont="1" applyFill="1" applyBorder="1" applyAlignment="1" applyProtection="1">
      <alignment horizontal="center" vertical="center"/>
    </xf>
    <xf numFmtId="0" fontId="32" fillId="18" borderId="34" xfId="36" applyNumberFormat="1" applyFont="1" applyFill="1" applyBorder="1" applyAlignment="1" applyProtection="1">
      <alignment horizontal="left" vertical="center" wrapText="1"/>
    </xf>
    <xf numFmtId="166" fontId="32" fillId="18" borderId="34" xfId="39" applyNumberFormat="1" applyFont="1" applyFill="1" applyBorder="1" applyAlignment="1" applyProtection="1">
      <alignment vertical="center" shrinkToFit="1"/>
    </xf>
    <xf numFmtId="49" fontId="34" fillId="18" borderId="34" xfId="46" applyNumberFormat="1" applyFont="1" applyFill="1" applyBorder="1" applyAlignment="1" applyProtection="1">
      <alignment horizontal="center" vertical="center"/>
    </xf>
    <xf numFmtId="0" fontId="34" fillId="18" borderId="34" xfId="44" applyNumberFormat="1" applyFont="1" applyFill="1" applyBorder="1" applyAlignment="1" applyProtection="1">
      <alignment horizontal="left" vertical="center" wrapText="1"/>
    </xf>
    <xf numFmtId="166" fontId="32" fillId="18" borderId="34" xfId="47" applyNumberFormat="1" applyFont="1" applyFill="1" applyBorder="1" applyAlignment="1" applyProtection="1">
      <alignment vertical="center" shrinkToFit="1"/>
    </xf>
    <xf numFmtId="166" fontId="16" fillId="18" borderId="34" xfId="39" applyNumberFormat="1" applyFont="1" applyFill="1" applyBorder="1" applyAlignment="1" applyProtection="1">
      <alignment vertical="center" shrinkToFit="1"/>
    </xf>
    <xf numFmtId="49" fontId="36" fillId="18" borderId="34" xfId="46" applyNumberFormat="1" applyFont="1" applyFill="1" applyBorder="1" applyAlignment="1" applyProtection="1">
      <alignment horizontal="center" vertical="center"/>
    </xf>
    <xf numFmtId="0" fontId="36" fillId="18" borderId="34" xfId="44" applyNumberFormat="1" applyFont="1" applyFill="1" applyBorder="1" applyAlignment="1" applyProtection="1">
      <alignment horizontal="left" vertical="center" wrapText="1"/>
    </xf>
    <xf numFmtId="1" fontId="35" fillId="18" borderId="34" xfId="42" applyNumberFormat="1" applyFont="1" applyFill="1" applyBorder="1" applyAlignment="1" applyProtection="1">
      <alignment horizontal="center" vertical="center" shrinkToFit="1"/>
    </xf>
  </cellXfs>
  <cellStyles count="194">
    <cellStyle name="20% - Акцент1 2" xfId="144"/>
    <cellStyle name="20% - Акцент1 3" xfId="145"/>
    <cellStyle name="20% - Акцент1 4" xfId="146"/>
    <cellStyle name="20% - Акцент2 2" xfId="147"/>
    <cellStyle name="20% - Акцент2 3" xfId="148"/>
    <cellStyle name="20% - Акцент2 4" xfId="149"/>
    <cellStyle name="20% - Акцент3 2" xfId="150"/>
    <cellStyle name="20% - Акцент3 3" xfId="151"/>
    <cellStyle name="20% - Акцент3 4" xfId="152"/>
    <cellStyle name="20% - Акцент4 2" xfId="153"/>
    <cellStyle name="20% - Акцент4 3" xfId="154"/>
    <cellStyle name="20% - Акцент4 4" xfId="155"/>
    <cellStyle name="20% - Акцент5 2" xfId="156"/>
    <cellStyle name="20% - Акцент5 3" xfId="157"/>
    <cellStyle name="20% - Акцент5 4" xfId="158"/>
    <cellStyle name="20% - Акцент6 2" xfId="159"/>
    <cellStyle name="20% - Акцент6 3" xfId="160"/>
    <cellStyle name="20% - Акцент6 4" xfId="161"/>
    <cellStyle name="40% - Акцент1 2" xfId="162"/>
    <cellStyle name="40% - Акцент1 3" xfId="163"/>
    <cellStyle name="40% - Акцент1 4" xfId="164"/>
    <cellStyle name="40% - Акцент2 2" xfId="165"/>
    <cellStyle name="40% - Акцент2 3" xfId="166"/>
    <cellStyle name="40% - Акцент2 4" xfId="167"/>
    <cellStyle name="40% - Акцент3 2" xfId="168"/>
    <cellStyle name="40% - Акцент3 3" xfId="169"/>
    <cellStyle name="40% - Акцент3 4" xfId="170"/>
    <cellStyle name="40% - Акцент4 2" xfId="171"/>
    <cellStyle name="40% - Акцент4 3" xfId="172"/>
    <cellStyle name="40% - Акцент4 4" xfId="173"/>
    <cellStyle name="40% - Акцент5 2" xfId="174"/>
    <cellStyle name="40% - Акцент5 3" xfId="175"/>
    <cellStyle name="40% - Акцент5 4" xfId="176"/>
    <cellStyle name="40% - Акцент6 2" xfId="177"/>
    <cellStyle name="40% - Акцент6 3" xfId="178"/>
    <cellStyle name="40% - Акцент6 4" xfId="179"/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Название 2" xfId="180"/>
    <cellStyle name="Обычный" xfId="0" builtinId="0"/>
    <cellStyle name="Обычный 10" xfId="193"/>
    <cellStyle name="Обычный 2" xfId="142"/>
    <cellStyle name="Обычный 3" xfId="181"/>
    <cellStyle name="Обычный 4" xfId="182"/>
    <cellStyle name="Обычный 5" xfId="183"/>
    <cellStyle name="Обычный 6" xfId="184"/>
    <cellStyle name="Обычный 7" xfId="185"/>
    <cellStyle name="Обычный 8" xfId="186"/>
    <cellStyle name="Обычный 9" xfId="143"/>
    <cellStyle name="Примечание 2" xfId="187"/>
    <cellStyle name="Примечание 3" xfId="188"/>
    <cellStyle name="Примечание 4" xfId="189"/>
    <cellStyle name="Примечание 5" xfId="190"/>
    <cellStyle name="Процентный 2" xfId="191"/>
    <cellStyle name="Финансовый 2" xfId="19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6"/>
  <sheetViews>
    <sheetView tabSelected="1" zoomScale="90" zoomScaleNormal="90" zoomScaleSheetLayoutView="100" workbookViewId="0">
      <pane xSplit="1" topLeftCell="B1" activePane="topRight" state="frozen"/>
      <selection pane="topRight" sqref="A1:T1"/>
    </sheetView>
  </sheetViews>
  <sheetFormatPr defaultColWidth="9.140625" defaultRowHeight="15" x14ac:dyDescent="0.25"/>
  <cols>
    <col min="1" max="1" width="24" style="38" customWidth="1"/>
    <col min="2" max="2" width="50.7109375" style="38" customWidth="1"/>
    <col min="3" max="4" width="17.42578125" style="43" customWidth="1"/>
    <col min="5" max="5" width="17.42578125" style="43" hidden="1" customWidth="1"/>
    <col min="6" max="6" width="17.42578125" style="43" customWidth="1"/>
    <col min="7" max="7" width="17.42578125" style="43" hidden="1" customWidth="1"/>
    <col min="8" max="8" width="17.42578125" style="43" customWidth="1"/>
    <col min="9" max="9" width="17.42578125" style="43" hidden="1" customWidth="1"/>
    <col min="10" max="10" width="17.42578125" style="43" customWidth="1"/>
    <col min="11" max="11" width="17.42578125" style="43" hidden="1" customWidth="1"/>
    <col min="12" max="12" width="17.42578125" style="43" customWidth="1"/>
    <col min="13" max="13" width="17.42578125" style="43" hidden="1" customWidth="1"/>
    <col min="14" max="14" width="17.42578125" style="43" customWidth="1"/>
    <col min="15" max="15" width="17.42578125" style="43" hidden="1" customWidth="1"/>
    <col min="16" max="16" width="17.42578125" style="43" customWidth="1"/>
    <col min="17" max="17" width="17.42578125" style="43" hidden="1" customWidth="1"/>
    <col min="18" max="19" width="17.42578125" style="43" customWidth="1"/>
    <col min="20" max="20" width="21.140625" style="43" customWidth="1"/>
    <col min="21" max="21" width="9.140625" style="38"/>
    <col min="22" max="22" width="15.7109375" style="38" customWidth="1"/>
    <col min="23" max="16384" width="9.140625" style="38"/>
  </cols>
  <sheetData>
    <row r="1" spans="1:23" ht="31.5" customHeight="1" x14ac:dyDescent="0.3">
      <c r="A1" s="45" t="s">
        <v>430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3" ht="12.95" customHeight="1" x14ac:dyDescent="0.25">
      <c r="A2" s="34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9"/>
    </row>
    <row r="3" spans="1:23" ht="89.25" customHeight="1" x14ac:dyDescent="0.25">
      <c r="A3" s="36" t="s">
        <v>339</v>
      </c>
      <c r="B3" s="36" t="s">
        <v>220</v>
      </c>
      <c r="C3" s="37" t="s">
        <v>340</v>
      </c>
      <c r="D3" s="37" t="s">
        <v>421</v>
      </c>
      <c r="E3" s="37" t="s">
        <v>341</v>
      </c>
      <c r="F3" s="37" t="s">
        <v>422</v>
      </c>
      <c r="G3" s="37" t="s">
        <v>342</v>
      </c>
      <c r="H3" s="37" t="s">
        <v>423</v>
      </c>
      <c r="I3" s="37" t="s">
        <v>343</v>
      </c>
      <c r="J3" s="37" t="s">
        <v>424</v>
      </c>
      <c r="K3" s="37" t="s">
        <v>344</v>
      </c>
      <c r="L3" s="37" t="s">
        <v>425</v>
      </c>
      <c r="M3" s="37" t="s">
        <v>345</v>
      </c>
      <c r="N3" s="37" t="s">
        <v>426</v>
      </c>
      <c r="O3" s="37" t="s">
        <v>346</v>
      </c>
      <c r="P3" s="37" t="s">
        <v>427</v>
      </c>
      <c r="Q3" s="37" t="s">
        <v>347</v>
      </c>
      <c r="R3" s="37" t="s">
        <v>428</v>
      </c>
      <c r="S3" s="37" t="s">
        <v>221</v>
      </c>
      <c r="T3" s="37" t="s">
        <v>429</v>
      </c>
    </row>
    <row r="4" spans="1:23" s="46" customFormat="1" ht="18.75" customHeight="1" x14ac:dyDescent="0.25">
      <c r="A4" s="57"/>
      <c r="B4" s="58" t="s">
        <v>222</v>
      </c>
      <c r="C4" s="59">
        <f t="shared" ref="C4:Q4" si="0">C5+C97</f>
        <v>1585392.0364099999</v>
      </c>
      <c r="D4" s="59">
        <f>E4-C4</f>
        <v>223996.56853000005</v>
      </c>
      <c r="E4" s="59">
        <f t="shared" si="0"/>
        <v>1809388.60494</v>
      </c>
      <c r="F4" s="59">
        <f>G4-E4</f>
        <v>23876.348209999967</v>
      </c>
      <c r="G4" s="59">
        <f t="shared" si="0"/>
        <v>1833264.95315</v>
      </c>
      <c r="H4" s="59">
        <f>I4-G4</f>
        <v>59229.761960000033</v>
      </c>
      <c r="I4" s="59">
        <f t="shared" si="0"/>
        <v>1892494.71511</v>
      </c>
      <c r="J4" s="59">
        <f>K4-I4</f>
        <v>-151.84224999998696</v>
      </c>
      <c r="K4" s="59">
        <f t="shared" si="0"/>
        <v>1892342.87286</v>
      </c>
      <c r="L4" s="59">
        <f>M4-K4</f>
        <v>52441.049799999921</v>
      </c>
      <c r="M4" s="59">
        <f>M5+M97</f>
        <v>1944783.9226599999</v>
      </c>
      <c r="N4" s="59">
        <f>O4-M4</f>
        <v>64433.022000000114</v>
      </c>
      <c r="O4" s="59">
        <f>O5+O97</f>
        <v>2009216.94466</v>
      </c>
      <c r="P4" s="59">
        <f>Q4-O4</f>
        <v>-7619.4330500001088</v>
      </c>
      <c r="Q4" s="59">
        <f t="shared" si="0"/>
        <v>2001597.5116099999</v>
      </c>
      <c r="R4" s="59">
        <f>T4-Q4</f>
        <v>34221.611659999937</v>
      </c>
      <c r="S4" s="59">
        <f>D4+F4+H4+J4+L4+N4+P4+R4</f>
        <v>450427.08685999992</v>
      </c>
      <c r="T4" s="59">
        <f>T5+T97</f>
        <v>2035819.1232699999</v>
      </c>
      <c r="V4" s="47"/>
      <c r="W4" s="48"/>
    </row>
    <row r="5" spans="1:23" s="46" customFormat="1" ht="21" customHeight="1" x14ac:dyDescent="0.25">
      <c r="A5" s="60" t="s">
        <v>1</v>
      </c>
      <c r="B5" s="61" t="s">
        <v>0</v>
      </c>
      <c r="C5" s="62">
        <f>C6+C12+C22+C31+C39+C46+C53+C66+C73+C79+C89+C92</f>
        <v>778376.7</v>
      </c>
      <c r="D5" s="59">
        <f t="shared" ref="D5:D68" si="1">E5-C5</f>
        <v>83600</v>
      </c>
      <c r="E5" s="62">
        <f t="shared" ref="E5:T5" si="2">E6+E12+E22+E31+E39+E46+E53+E66+E73+E79+E89+E92</f>
        <v>861976.7</v>
      </c>
      <c r="F5" s="59">
        <f t="shared" ref="F5:F68" si="3">G5-E5</f>
        <v>0</v>
      </c>
      <c r="G5" s="62">
        <f t="shared" si="2"/>
        <v>861976.7</v>
      </c>
      <c r="H5" s="59">
        <f t="shared" ref="H5:H68" si="4">I5-G5</f>
        <v>0</v>
      </c>
      <c r="I5" s="62">
        <f t="shared" si="2"/>
        <v>861976.7</v>
      </c>
      <c r="J5" s="59">
        <f t="shared" ref="J5:J68" si="5">K5-I5</f>
        <v>0</v>
      </c>
      <c r="K5" s="62">
        <f>K6+K12+K22+K31+K39+K46+K53+K66+K73+K79+K89+K92</f>
        <v>861976.7</v>
      </c>
      <c r="L5" s="59">
        <f t="shared" ref="L5:L68" si="6">M5-K5</f>
        <v>0</v>
      </c>
      <c r="M5" s="62">
        <f>M6+M12+M22+M31+M39+M46+M53+M66+M73+M79+M89+M92</f>
        <v>861976.7</v>
      </c>
      <c r="N5" s="59">
        <f t="shared" ref="N5:N68" si="7">O5-M5</f>
        <v>-60000</v>
      </c>
      <c r="O5" s="62">
        <f>O6+O12+O22+O31+O39+O46+O53+O66+O73+O79+O89+O92</f>
        <v>801976.7</v>
      </c>
      <c r="P5" s="59">
        <f t="shared" ref="P5:P68" si="8">Q5-O5</f>
        <v>0</v>
      </c>
      <c r="Q5" s="62">
        <f t="shared" si="2"/>
        <v>801976.7</v>
      </c>
      <c r="R5" s="59">
        <f t="shared" ref="R5:R68" si="9">T5-Q5</f>
        <v>-17891.517189999926</v>
      </c>
      <c r="S5" s="59">
        <f t="shared" ref="S5:S68" si="10">D5+F5+H5+J5+L5+N5+P5+R5</f>
        <v>5708.4828100000741</v>
      </c>
      <c r="T5" s="62">
        <f t="shared" si="2"/>
        <v>784085.18281000003</v>
      </c>
      <c r="V5" s="47"/>
      <c r="W5" s="48"/>
    </row>
    <row r="6" spans="1:23" s="49" customFormat="1" ht="15.75" x14ac:dyDescent="0.25">
      <c r="A6" s="44" t="s">
        <v>3</v>
      </c>
      <c r="B6" s="50" t="s">
        <v>2</v>
      </c>
      <c r="C6" s="51">
        <f t="shared" ref="C6:T6" si="11">C7</f>
        <v>540600</v>
      </c>
      <c r="D6" s="63">
        <f t="shared" si="1"/>
        <v>83600</v>
      </c>
      <c r="E6" s="51">
        <f t="shared" si="11"/>
        <v>624200</v>
      </c>
      <c r="F6" s="63">
        <f t="shared" si="3"/>
        <v>0</v>
      </c>
      <c r="G6" s="51">
        <f t="shared" si="11"/>
        <v>624200</v>
      </c>
      <c r="H6" s="63">
        <f t="shared" si="4"/>
        <v>0</v>
      </c>
      <c r="I6" s="51">
        <f t="shared" si="11"/>
        <v>624200</v>
      </c>
      <c r="J6" s="63">
        <f t="shared" si="5"/>
        <v>0</v>
      </c>
      <c r="K6" s="51">
        <f t="shared" si="11"/>
        <v>624200</v>
      </c>
      <c r="L6" s="63">
        <f t="shared" si="6"/>
        <v>0</v>
      </c>
      <c r="M6" s="51">
        <f>K6</f>
        <v>624200</v>
      </c>
      <c r="N6" s="63">
        <f t="shared" si="7"/>
        <v>-60000</v>
      </c>
      <c r="O6" s="51">
        <f>O7</f>
        <v>564200</v>
      </c>
      <c r="P6" s="63">
        <f t="shared" si="8"/>
        <v>0</v>
      </c>
      <c r="Q6" s="51">
        <f t="shared" si="11"/>
        <v>564200</v>
      </c>
      <c r="R6" s="63">
        <f t="shared" si="9"/>
        <v>-41797</v>
      </c>
      <c r="S6" s="63">
        <f t="shared" si="10"/>
        <v>-18197</v>
      </c>
      <c r="T6" s="51">
        <f t="shared" si="11"/>
        <v>522403</v>
      </c>
      <c r="V6" s="47"/>
      <c r="W6" s="48"/>
    </row>
    <row r="7" spans="1:23" s="49" customFormat="1" ht="30" customHeight="1" x14ac:dyDescent="0.25">
      <c r="A7" s="44" t="s">
        <v>5</v>
      </c>
      <c r="B7" s="50" t="s">
        <v>4</v>
      </c>
      <c r="C7" s="51">
        <v>540600</v>
      </c>
      <c r="D7" s="63">
        <f t="shared" si="1"/>
        <v>83600</v>
      </c>
      <c r="E7" s="51">
        <f>C7+83600</f>
        <v>624200</v>
      </c>
      <c r="F7" s="63">
        <f t="shared" si="3"/>
        <v>0</v>
      </c>
      <c r="G7" s="51">
        <f>E7</f>
        <v>624200</v>
      </c>
      <c r="H7" s="63">
        <f t="shared" si="4"/>
        <v>0</v>
      </c>
      <c r="I7" s="51">
        <f>G7</f>
        <v>624200</v>
      </c>
      <c r="J7" s="63">
        <f t="shared" si="5"/>
        <v>0</v>
      </c>
      <c r="K7" s="51">
        <f>I7</f>
        <v>624200</v>
      </c>
      <c r="L7" s="63">
        <f t="shared" si="6"/>
        <v>0</v>
      </c>
      <c r="M7" s="51">
        <f>K7</f>
        <v>624200</v>
      </c>
      <c r="N7" s="63">
        <f t="shared" si="7"/>
        <v>-60000</v>
      </c>
      <c r="O7" s="51">
        <f>M7-60000</f>
        <v>564200</v>
      </c>
      <c r="P7" s="63">
        <f t="shared" si="8"/>
        <v>0</v>
      </c>
      <c r="Q7" s="51">
        <f>O7</f>
        <v>564200</v>
      </c>
      <c r="R7" s="63">
        <f t="shared" si="9"/>
        <v>-41797</v>
      </c>
      <c r="S7" s="63">
        <f t="shared" si="10"/>
        <v>-18197</v>
      </c>
      <c r="T7" s="51">
        <f>Q7-41797</f>
        <v>522403</v>
      </c>
      <c r="V7" s="47"/>
      <c r="W7" s="48"/>
    </row>
    <row r="8" spans="1:23" s="49" customFormat="1" ht="60" hidden="1" x14ac:dyDescent="0.25">
      <c r="A8" s="44" t="s">
        <v>7</v>
      </c>
      <c r="B8" s="50" t="s">
        <v>6</v>
      </c>
      <c r="C8" s="51">
        <v>523788.92099999997</v>
      </c>
      <c r="D8" s="63">
        <f t="shared" si="1"/>
        <v>0</v>
      </c>
      <c r="E8" s="51">
        <v>523788.92099999997</v>
      </c>
      <c r="F8" s="63">
        <f t="shared" si="3"/>
        <v>0</v>
      </c>
      <c r="G8" s="51">
        <v>523788.92099999997</v>
      </c>
      <c r="H8" s="63">
        <f t="shared" si="4"/>
        <v>0</v>
      </c>
      <c r="I8" s="51">
        <v>523788.92099999997</v>
      </c>
      <c r="J8" s="63">
        <f t="shared" si="5"/>
        <v>0</v>
      </c>
      <c r="K8" s="51">
        <f>I8</f>
        <v>523788.92099999997</v>
      </c>
      <c r="L8" s="63">
        <f t="shared" si="6"/>
        <v>-523788.92099999997</v>
      </c>
      <c r="M8" s="51"/>
      <c r="N8" s="63">
        <f t="shared" si="7"/>
        <v>0</v>
      </c>
      <c r="O8" s="51"/>
      <c r="P8" s="63">
        <f t="shared" si="8"/>
        <v>0</v>
      </c>
      <c r="Q8" s="51"/>
      <c r="R8" s="63">
        <f t="shared" si="9"/>
        <v>0</v>
      </c>
      <c r="S8" s="63">
        <f t="shared" si="10"/>
        <v>-523788.92099999997</v>
      </c>
      <c r="T8" s="51"/>
      <c r="V8" s="47"/>
      <c r="W8" s="48"/>
    </row>
    <row r="9" spans="1:23" s="49" customFormat="1" ht="96.75" hidden="1" customHeight="1" x14ac:dyDescent="0.25">
      <c r="A9" s="44" t="s">
        <v>9</v>
      </c>
      <c r="B9" s="50" t="s">
        <v>8</v>
      </c>
      <c r="C9" s="51">
        <v>3440</v>
      </c>
      <c r="D9" s="63">
        <f t="shared" si="1"/>
        <v>0</v>
      </c>
      <c r="E9" s="51">
        <v>3440</v>
      </c>
      <c r="F9" s="63">
        <f t="shared" si="3"/>
        <v>0</v>
      </c>
      <c r="G9" s="51">
        <v>3440</v>
      </c>
      <c r="H9" s="63">
        <f t="shared" si="4"/>
        <v>0</v>
      </c>
      <c r="I9" s="51">
        <v>3440</v>
      </c>
      <c r="J9" s="63">
        <f t="shared" si="5"/>
        <v>0</v>
      </c>
      <c r="K9" s="51">
        <f t="shared" ref="K9:K11" si="12">I9</f>
        <v>3440</v>
      </c>
      <c r="L9" s="63">
        <f t="shared" si="6"/>
        <v>-3440</v>
      </c>
      <c r="M9" s="51"/>
      <c r="N9" s="63">
        <f t="shared" si="7"/>
        <v>0</v>
      </c>
      <c r="O9" s="51"/>
      <c r="P9" s="63">
        <f t="shared" si="8"/>
        <v>0</v>
      </c>
      <c r="Q9" s="51"/>
      <c r="R9" s="63">
        <f t="shared" si="9"/>
        <v>0</v>
      </c>
      <c r="S9" s="63">
        <f t="shared" si="10"/>
        <v>-3440</v>
      </c>
      <c r="T9" s="51"/>
      <c r="V9" s="47"/>
      <c r="W9" s="48"/>
    </row>
    <row r="10" spans="1:23" s="49" customFormat="1" ht="36" hidden="1" x14ac:dyDescent="0.25">
      <c r="A10" s="44" t="s">
        <v>11</v>
      </c>
      <c r="B10" s="50" t="s">
        <v>10</v>
      </c>
      <c r="C10" s="51">
        <v>2420</v>
      </c>
      <c r="D10" s="63">
        <f t="shared" si="1"/>
        <v>0</v>
      </c>
      <c r="E10" s="51">
        <v>2420</v>
      </c>
      <c r="F10" s="63">
        <f t="shared" si="3"/>
        <v>0</v>
      </c>
      <c r="G10" s="51">
        <v>2420</v>
      </c>
      <c r="H10" s="63">
        <f t="shared" si="4"/>
        <v>0</v>
      </c>
      <c r="I10" s="51">
        <v>2420</v>
      </c>
      <c r="J10" s="63">
        <f t="shared" si="5"/>
        <v>0</v>
      </c>
      <c r="K10" s="51">
        <f t="shared" si="12"/>
        <v>2420</v>
      </c>
      <c r="L10" s="63">
        <f t="shared" si="6"/>
        <v>-2420</v>
      </c>
      <c r="M10" s="51"/>
      <c r="N10" s="63">
        <f t="shared" si="7"/>
        <v>0</v>
      </c>
      <c r="O10" s="51"/>
      <c r="P10" s="63">
        <f t="shared" si="8"/>
        <v>0</v>
      </c>
      <c r="Q10" s="51"/>
      <c r="R10" s="63">
        <f t="shared" si="9"/>
        <v>0</v>
      </c>
      <c r="S10" s="63">
        <f t="shared" si="10"/>
        <v>-2420</v>
      </c>
      <c r="T10" s="51"/>
      <c r="V10" s="47"/>
      <c r="W10" s="48"/>
    </row>
    <row r="11" spans="1:23" s="49" customFormat="1" ht="72" hidden="1" x14ac:dyDescent="0.25">
      <c r="A11" s="44" t="s">
        <v>13</v>
      </c>
      <c r="B11" s="50" t="s">
        <v>12</v>
      </c>
      <c r="C11" s="51">
        <v>401</v>
      </c>
      <c r="D11" s="63">
        <f t="shared" si="1"/>
        <v>0</v>
      </c>
      <c r="E11" s="51">
        <v>401</v>
      </c>
      <c r="F11" s="63">
        <f t="shared" si="3"/>
        <v>0</v>
      </c>
      <c r="G11" s="51">
        <v>401</v>
      </c>
      <c r="H11" s="63">
        <f t="shared" si="4"/>
        <v>0</v>
      </c>
      <c r="I11" s="51">
        <v>401</v>
      </c>
      <c r="J11" s="63">
        <f t="shared" si="5"/>
        <v>0</v>
      </c>
      <c r="K11" s="51">
        <f t="shared" si="12"/>
        <v>401</v>
      </c>
      <c r="L11" s="63">
        <f t="shared" si="6"/>
        <v>-401</v>
      </c>
      <c r="M11" s="51"/>
      <c r="N11" s="63">
        <f t="shared" si="7"/>
        <v>0</v>
      </c>
      <c r="O11" s="51"/>
      <c r="P11" s="63">
        <f t="shared" si="8"/>
        <v>0</v>
      </c>
      <c r="Q11" s="51"/>
      <c r="R11" s="63">
        <f t="shared" si="9"/>
        <v>0</v>
      </c>
      <c r="S11" s="63">
        <f t="shared" si="10"/>
        <v>-401</v>
      </c>
      <c r="T11" s="51"/>
      <c r="V11" s="47"/>
      <c r="W11" s="48"/>
    </row>
    <row r="12" spans="1:23" s="49" customFormat="1" ht="37.5" customHeight="1" x14ac:dyDescent="0.25">
      <c r="A12" s="44" t="s">
        <v>15</v>
      </c>
      <c r="B12" s="50" t="s">
        <v>14</v>
      </c>
      <c r="C12" s="51">
        <f t="shared" ref="C12:T12" si="13">C13</f>
        <v>14500</v>
      </c>
      <c r="D12" s="63">
        <f t="shared" si="1"/>
        <v>0</v>
      </c>
      <c r="E12" s="51">
        <f t="shared" si="13"/>
        <v>14500</v>
      </c>
      <c r="F12" s="63">
        <f t="shared" si="3"/>
        <v>0</v>
      </c>
      <c r="G12" s="51">
        <f t="shared" si="13"/>
        <v>14500</v>
      </c>
      <c r="H12" s="63">
        <f t="shared" si="4"/>
        <v>0</v>
      </c>
      <c r="I12" s="51">
        <f t="shared" si="13"/>
        <v>14500</v>
      </c>
      <c r="J12" s="63">
        <f t="shared" si="5"/>
        <v>0</v>
      </c>
      <c r="K12" s="51">
        <f t="shared" si="13"/>
        <v>14500</v>
      </c>
      <c r="L12" s="63">
        <f t="shared" si="6"/>
        <v>0</v>
      </c>
      <c r="M12" s="51">
        <f>M13</f>
        <v>14500</v>
      </c>
      <c r="N12" s="63">
        <f t="shared" si="7"/>
        <v>0</v>
      </c>
      <c r="O12" s="51">
        <f>O13</f>
        <v>14500</v>
      </c>
      <c r="P12" s="63">
        <f t="shared" si="8"/>
        <v>0</v>
      </c>
      <c r="Q12" s="51">
        <f t="shared" si="13"/>
        <v>14500</v>
      </c>
      <c r="R12" s="63">
        <f t="shared" si="9"/>
        <v>4000</v>
      </c>
      <c r="S12" s="63">
        <f t="shared" si="10"/>
        <v>4000</v>
      </c>
      <c r="T12" s="51">
        <f t="shared" si="13"/>
        <v>18500</v>
      </c>
      <c r="V12" s="47"/>
      <c r="W12" s="48"/>
    </row>
    <row r="13" spans="1:23" s="49" customFormat="1" ht="24" x14ac:dyDescent="0.25">
      <c r="A13" s="44" t="s">
        <v>17</v>
      </c>
      <c r="B13" s="50" t="s">
        <v>16</v>
      </c>
      <c r="C13" s="51">
        <v>14500</v>
      </c>
      <c r="D13" s="63">
        <f t="shared" si="1"/>
        <v>0</v>
      </c>
      <c r="E13" s="51">
        <f>C13</f>
        <v>14500</v>
      </c>
      <c r="F13" s="63">
        <f t="shared" si="3"/>
        <v>0</v>
      </c>
      <c r="G13" s="51">
        <f>E13</f>
        <v>14500</v>
      </c>
      <c r="H13" s="63">
        <f t="shared" si="4"/>
        <v>0</v>
      </c>
      <c r="I13" s="51">
        <f>G13</f>
        <v>14500</v>
      </c>
      <c r="J13" s="63">
        <f t="shared" si="5"/>
        <v>0</v>
      </c>
      <c r="K13" s="51">
        <f>I13</f>
        <v>14500</v>
      </c>
      <c r="L13" s="63">
        <f t="shared" si="6"/>
        <v>0</v>
      </c>
      <c r="M13" s="51">
        <f>K13</f>
        <v>14500</v>
      </c>
      <c r="N13" s="63">
        <f t="shared" si="7"/>
        <v>0</v>
      </c>
      <c r="O13" s="51">
        <f>M13</f>
        <v>14500</v>
      </c>
      <c r="P13" s="63">
        <f t="shared" si="8"/>
        <v>0</v>
      </c>
      <c r="Q13" s="51">
        <f t="shared" ref="Q13" si="14">O13</f>
        <v>14500</v>
      </c>
      <c r="R13" s="63">
        <f t="shared" si="9"/>
        <v>4000</v>
      </c>
      <c r="S13" s="63">
        <f t="shared" si="10"/>
        <v>4000</v>
      </c>
      <c r="T13" s="51">
        <f>Q13+4000</f>
        <v>18500</v>
      </c>
      <c r="V13" s="47"/>
      <c r="W13" s="48"/>
    </row>
    <row r="14" spans="1:23" s="49" customFormat="1" ht="48" hidden="1" x14ac:dyDescent="0.25">
      <c r="A14" s="44" t="s">
        <v>19</v>
      </c>
      <c r="B14" s="50" t="s">
        <v>18</v>
      </c>
      <c r="C14" s="51">
        <v>5000</v>
      </c>
      <c r="D14" s="63">
        <f t="shared" si="1"/>
        <v>0</v>
      </c>
      <c r="E14" s="51">
        <v>5000</v>
      </c>
      <c r="F14" s="63">
        <f t="shared" si="3"/>
        <v>0</v>
      </c>
      <c r="G14" s="51">
        <v>5000</v>
      </c>
      <c r="H14" s="63">
        <f t="shared" si="4"/>
        <v>0</v>
      </c>
      <c r="I14" s="51">
        <v>5000</v>
      </c>
      <c r="J14" s="63">
        <f t="shared" si="5"/>
        <v>0</v>
      </c>
      <c r="K14" s="51">
        <v>5000</v>
      </c>
      <c r="L14" s="63">
        <f t="shared" si="6"/>
        <v>-5000</v>
      </c>
      <c r="M14" s="51"/>
      <c r="N14" s="63">
        <f t="shared" si="7"/>
        <v>0</v>
      </c>
      <c r="O14" s="51"/>
      <c r="P14" s="63">
        <f t="shared" si="8"/>
        <v>5000</v>
      </c>
      <c r="Q14" s="51">
        <v>5000</v>
      </c>
      <c r="R14" s="63">
        <f t="shared" si="9"/>
        <v>0</v>
      </c>
      <c r="S14" s="63">
        <f t="shared" si="10"/>
        <v>0</v>
      </c>
      <c r="T14" s="51">
        <v>5000</v>
      </c>
      <c r="V14" s="47"/>
      <c r="W14" s="48"/>
    </row>
    <row r="15" spans="1:23" s="49" customFormat="1" ht="93" hidden="1" customHeight="1" x14ac:dyDescent="0.25">
      <c r="A15" s="44" t="s">
        <v>21</v>
      </c>
      <c r="B15" s="50" t="s">
        <v>20</v>
      </c>
      <c r="C15" s="51">
        <v>5000</v>
      </c>
      <c r="D15" s="63">
        <f t="shared" si="1"/>
        <v>0</v>
      </c>
      <c r="E15" s="51">
        <v>5000</v>
      </c>
      <c r="F15" s="63">
        <f t="shared" si="3"/>
        <v>0</v>
      </c>
      <c r="G15" s="51">
        <v>5000</v>
      </c>
      <c r="H15" s="63">
        <f t="shared" si="4"/>
        <v>0</v>
      </c>
      <c r="I15" s="51">
        <v>5000</v>
      </c>
      <c r="J15" s="63">
        <f t="shared" si="5"/>
        <v>0</v>
      </c>
      <c r="K15" s="51">
        <v>5000</v>
      </c>
      <c r="L15" s="63">
        <f t="shared" si="6"/>
        <v>-5000</v>
      </c>
      <c r="M15" s="51"/>
      <c r="N15" s="63">
        <f t="shared" si="7"/>
        <v>0</v>
      </c>
      <c r="O15" s="51"/>
      <c r="P15" s="63">
        <f t="shared" si="8"/>
        <v>5000</v>
      </c>
      <c r="Q15" s="51">
        <v>5000</v>
      </c>
      <c r="R15" s="63">
        <f t="shared" si="9"/>
        <v>0</v>
      </c>
      <c r="S15" s="63">
        <f t="shared" si="10"/>
        <v>0</v>
      </c>
      <c r="T15" s="51">
        <v>5000</v>
      </c>
      <c r="V15" s="47"/>
      <c r="W15" s="48"/>
    </row>
    <row r="16" spans="1:23" s="49" customFormat="1" ht="60" hidden="1" x14ac:dyDescent="0.25">
      <c r="A16" s="44" t="s">
        <v>23</v>
      </c>
      <c r="B16" s="50" t="s">
        <v>22</v>
      </c>
      <c r="C16" s="51">
        <v>50</v>
      </c>
      <c r="D16" s="63">
        <f t="shared" si="1"/>
        <v>0</v>
      </c>
      <c r="E16" s="51">
        <v>50</v>
      </c>
      <c r="F16" s="63">
        <f t="shared" si="3"/>
        <v>0</v>
      </c>
      <c r="G16" s="51">
        <v>50</v>
      </c>
      <c r="H16" s="63">
        <f t="shared" si="4"/>
        <v>0</v>
      </c>
      <c r="I16" s="51">
        <v>50</v>
      </c>
      <c r="J16" s="63">
        <f t="shared" si="5"/>
        <v>0</v>
      </c>
      <c r="K16" s="51">
        <v>50</v>
      </c>
      <c r="L16" s="63">
        <f t="shared" si="6"/>
        <v>-50</v>
      </c>
      <c r="M16" s="51"/>
      <c r="N16" s="63">
        <f t="shared" si="7"/>
        <v>0</v>
      </c>
      <c r="O16" s="51"/>
      <c r="P16" s="63">
        <f t="shared" si="8"/>
        <v>50</v>
      </c>
      <c r="Q16" s="51">
        <v>50</v>
      </c>
      <c r="R16" s="63">
        <f t="shared" si="9"/>
        <v>0</v>
      </c>
      <c r="S16" s="63">
        <f t="shared" si="10"/>
        <v>0</v>
      </c>
      <c r="T16" s="51">
        <v>50</v>
      </c>
      <c r="V16" s="47"/>
      <c r="W16" s="48"/>
    </row>
    <row r="17" spans="1:23" s="49" customFormat="1" ht="96" hidden="1" x14ac:dyDescent="0.25">
      <c r="A17" s="44" t="s">
        <v>25</v>
      </c>
      <c r="B17" s="50" t="s">
        <v>24</v>
      </c>
      <c r="C17" s="51">
        <v>50</v>
      </c>
      <c r="D17" s="63">
        <f t="shared" si="1"/>
        <v>0</v>
      </c>
      <c r="E17" s="51">
        <v>50</v>
      </c>
      <c r="F17" s="63">
        <f t="shared" si="3"/>
        <v>0</v>
      </c>
      <c r="G17" s="51">
        <v>50</v>
      </c>
      <c r="H17" s="63">
        <f t="shared" si="4"/>
        <v>0</v>
      </c>
      <c r="I17" s="51">
        <v>50</v>
      </c>
      <c r="J17" s="63">
        <f t="shared" si="5"/>
        <v>0</v>
      </c>
      <c r="K17" s="51">
        <v>50</v>
      </c>
      <c r="L17" s="63">
        <f t="shared" si="6"/>
        <v>-50</v>
      </c>
      <c r="M17" s="51"/>
      <c r="N17" s="63">
        <f t="shared" si="7"/>
        <v>0</v>
      </c>
      <c r="O17" s="51"/>
      <c r="P17" s="63">
        <f t="shared" si="8"/>
        <v>50</v>
      </c>
      <c r="Q17" s="51">
        <v>50</v>
      </c>
      <c r="R17" s="63">
        <f t="shared" si="9"/>
        <v>0</v>
      </c>
      <c r="S17" s="63">
        <f t="shared" si="10"/>
        <v>0</v>
      </c>
      <c r="T17" s="51">
        <v>50</v>
      </c>
      <c r="V17" s="47"/>
      <c r="W17" s="48"/>
    </row>
    <row r="18" spans="1:23" s="49" customFormat="1" ht="60" hidden="1" x14ac:dyDescent="0.25">
      <c r="A18" s="44" t="s">
        <v>27</v>
      </c>
      <c r="B18" s="50" t="s">
        <v>26</v>
      </c>
      <c r="C18" s="51">
        <v>7085</v>
      </c>
      <c r="D18" s="63">
        <f t="shared" si="1"/>
        <v>0</v>
      </c>
      <c r="E18" s="51">
        <v>7085</v>
      </c>
      <c r="F18" s="63">
        <f t="shared" si="3"/>
        <v>0</v>
      </c>
      <c r="G18" s="51">
        <v>7085</v>
      </c>
      <c r="H18" s="63">
        <f t="shared" si="4"/>
        <v>0</v>
      </c>
      <c r="I18" s="51">
        <v>7085</v>
      </c>
      <c r="J18" s="63">
        <f t="shared" si="5"/>
        <v>0</v>
      </c>
      <c r="K18" s="51">
        <v>7085</v>
      </c>
      <c r="L18" s="63">
        <f t="shared" si="6"/>
        <v>-7085</v>
      </c>
      <c r="M18" s="51"/>
      <c r="N18" s="63">
        <f t="shared" si="7"/>
        <v>0</v>
      </c>
      <c r="O18" s="51"/>
      <c r="P18" s="63">
        <f t="shared" si="8"/>
        <v>7085</v>
      </c>
      <c r="Q18" s="51">
        <v>7085</v>
      </c>
      <c r="R18" s="63">
        <f t="shared" si="9"/>
        <v>0</v>
      </c>
      <c r="S18" s="63">
        <f t="shared" si="10"/>
        <v>0</v>
      </c>
      <c r="T18" s="51">
        <v>7085</v>
      </c>
      <c r="V18" s="47"/>
      <c r="W18" s="48"/>
    </row>
    <row r="19" spans="1:23" s="49" customFormat="1" ht="84" hidden="1" x14ac:dyDescent="0.25">
      <c r="A19" s="44" t="s">
        <v>29</v>
      </c>
      <c r="B19" s="50" t="s">
        <v>28</v>
      </c>
      <c r="C19" s="51">
        <v>7085</v>
      </c>
      <c r="D19" s="63">
        <f t="shared" si="1"/>
        <v>0</v>
      </c>
      <c r="E19" s="51">
        <v>7085</v>
      </c>
      <c r="F19" s="63">
        <f t="shared" si="3"/>
        <v>0</v>
      </c>
      <c r="G19" s="51">
        <v>7085</v>
      </c>
      <c r="H19" s="63">
        <f t="shared" si="4"/>
        <v>0</v>
      </c>
      <c r="I19" s="51">
        <v>7085</v>
      </c>
      <c r="J19" s="63">
        <f t="shared" si="5"/>
        <v>0</v>
      </c>
      <c r="K19" s="51">
        <v>7085</v>
      </c>
      <c r="L19" s="63">
        <f t="shared" si="6"/>
        <v>-7085</v>
      </c>
      <c r="M19" s="51"/>
      <c r="N19" s="63">
        <f t="shared" si="7"/>
        <v>0</v>
      </c>
      <c r="O19" s="51"/>
      <c r="P19" s="63">
        <f t="shared" si="8"/>
        <v>7085</v>
      </c>
      <c r="Q19" s="51">
        <v>7085</v>
      </c>
      <c r="R19" s="63">
        <f t="shared" si="9"/>
        <v>0</v>
      </c>
      <c r="S19" s="63">
        <f t="shared" si="10"/>
        <v>0</v>
      </c>
      <c r="T19" s="51">
        <v>7085</v>
      </c>
      <c r="V19" s="47"/>
      <c r="W19" s="48"/>
    </row>
    <row r="20" spans="1:23" s="49" customFormat="1" ht="48" hidden="1" x14ac:dyDescent="0.25">
      <c r="A20" s="44" t="s">
        <v>31</v>
      </c>
      <c r="B20" s="50" t="s">
        <v>30</v>
      </c>
      <c r="C20" s="51">
        <v>1</v>
      </c>
      <c r="D20" s="63">
        <f t="shared" si="1"/>
        <v>0</v>
      </c>
      <c r="E20" s="51">
        <v>1</v>
      </c>
      <c r="F20" s="63">
        <f t="shared" si="3"/>
        <v>0</v>
      </c>
      <c r="G20" s="51">
        <v>1</v>
      </c>
      <c r="H20" s="63">
        <f t="shared" si="4"/>
        <v>0</v>
      </c>
      <c r="I20" s="51">
        <v>1</v>
      </c>
      <c r="J20" s="63">
        <f t="shared" si="5"/>
        <v>0</v>
      </c>
      <c r="K20" s="51">
        <v>1</v>
      </c>
      <c r="L20" s="63">
        <f t="shared" si="6"/>
        <v>-1</v>
      </c>
      <c r="M20" s="51"/>
      <c r="N20" s="63">
        <f t="shared" si="7"/>
        <v>0</v>
      </c>
      <c r="O20" s="51"/>
      <c r="P20" s="63">
        <f t="shared" si="8"/>
        <v>1</v>
      </c>
      <c r="Q20" s="51">
        <v>1</v>
      </c>
      <c r="R20" s="63">
        <f t="shared" si="9"/>
        <v>0</v>
      </c>
      <c r="S20" s="63">
        <f t="shared" si="10"/>
        <v>0</v>
      </c>
      <c r="T20" s="51">
        <v>1</v>
      </c>
      <c r="V20" s="47"/>
      <c r="W20" s="48"/>
    </row>
    <row r="21" spans="1:23" s="49" customFormat="1" ht="84" hidden="1" x14ac:dyDescent="0.25">
      <c r="A21" s="44" t="s">
        <v>33</v>
      </c>
      <c r="B21" s="50" t="s">
        <v>32</v>
      </c>
      <c r="C21" s="51">
        <v>1</v>
      </c>
      <c r="D21" s="63">
        <f t="shared" si="1"/>
        <v>0</v>
      </c>
      <c r="E21" s="51">
        <v>1</v>
      </c>
      <c r="F21" s="63">
        <f t="shared" si="3"/>
        <v>0</v>
      </c>
      <c r="G21" s="51">
        <v>1</v>
      </c>
      <c r="H21" s="63">
        <f t="shared" si="4"/>
        <v>0</v>
      </c>
      <c r="I21" s="51">
        <v>1</v>
      </c>
      <c r="J21" s="63">
        <f t="shared" si="5"/>
        <v>0</v>
      </c>
      <c r="K21" s="51">
        <v>1</v>
      </c>
      <c r="L21" s="63">
        <f t="shared" si="6"/>
        <v>-1</v>
      </c>
      <c r="M21" s="51"/>
      <c r="N21" s="63">
        <f t="shared" si="7"/>
        <v>0</v>
      </c>
      <c r="O21" s="51"/>
      <c r="P21" s="63">
        <f t="shared" si="8"/>
        <v>1</v>
      </c>
      <c r="Q21" s="51">
        <v>1</v>
      </c>
      <c r="R21" s="63">
        <f t="shared" si="9"/>
        <v>0</v>
      </c>
      <c r="S21" s="63">
        <f t="shared" si="10"/>
        <v>0</v>
      </c>
      <c r="T21" s="51">
        <v>1</v>
      </c>
      <c r="V21" s="47"/>
      <c r="W21" s="48"/>
    </row>
    <row r="22" spans="1:23" s="49" customFormat="1" ht="28.5" customHeight="1" x14ac:dyDescent="0.25">
      <c r="A22" s="44" t="s">
        <v>35</v>
      </c>
      <c r="B22" s="50" t="s">
        <v>34</v>
      </c>
      <c r="C22" s="51">
        <f>C24+C27+C29+C23</f>
        <v>93250</v>
      </c>
      <c r="D22" s="63">
        <f t="shared" si="1"/>
        <v>0</v>
      </c>
      <c r="E22" s="51">
        <f t="shared" ref="E22:T22" si="15">E24+E27+E29+E23</f>
        <v>93250</v>
      </c>
      <c r="F22" s="63">
        <f t="shared" si="3"/>
        <v>0</v>
      </c>
      <c r="G22" s="51">
        <f t="shared" si="15"/>
        <v>93250</v>
      </c>
      <c r="H22" s="63">
        <f t="shared" si="4"/>
        <v>0</v>
      </c>
      <c r="I22" s="51">
        <f t="shared" si="15"/>
        <v>93250</v>
      </c>
      <c r="J22" s="63">
        <f t="shared" si="5"/>
        <v>0</v>
      </c>
      <c r="K22" s="51">
        <f t="shared" si="15"/>
        <v>93250</v>
      </c>
      <c r="L22" s="63">
        <f t="shared" si="6"/>
        <v>0</v>
      </c>
      <c r="M22" s="51">
        <f>M23+M24+M27+M29</f>
        <v>93250</v>
      </c>
      <c r="N22" s="63">
        <f t="shared" si="7"/>
        <v>0</v>
      </c>
      <c r="O22" s="51">
        <f>O23+O24+O27+O29</f>
        <v>93250</v>
      </c>
      <c r="P22" s="63">
        <f t="shared" si="8"/>
        <v>0</v>
      </c>
      <c r="Q22" s="51">
        <f t="shared" si="15"/>
        <v>93250</v>
      </c>
      <c r="R22" s="63">
        <f t="shared" si="9"/>
        <v>29500.182809999998</v>
      </c>
      <c r="S22" s="63">
        <f t="shared" si="10"/>
        <v>29500.182809999998</v>
      </c>
      <c r="T22" s="51">
        <f t="shared" si="15"/>
        <v>122750.18281</v>
      </c>
      <c r="V22" s="47"/>
      <c r="W22" s="48"/>
    </row>
    <row r="23" spans="1:23" s="49" customFormat="1" ht="33" customHeight="1" x14ac:dyDescent="0.25">
      <c r="A23" s="44" t="s">
        <v>348</v>
      </c>
      <c r="B23" s="50" t="s">
        <v>349</v>
      </c>
      <c r="C23" s="51">
        <v>80000</v>
      </c>
      <c r="D23" s="63">
        <f t="shared" si="1"/>
        <v>0</v>
      </c>
      <c r="E23" s="51">
        <f>C23</f>
        <v>80000</v>
      </c>
      <c r="F23" s="63">
        <f t="shared" si="3"/>
        <v>0</v>
      </c>
      <c r="G23" s="51">
        <f>E23</f>
        <v>80000</v>
      </c>
      <c r="H23" s="63">
        <f t="shared" si="4"/>
        <v>0</v>
      </c>
      <c r="I23" s="51">
        <f>G23</f>
        <v>80000</v>
      </c>
      <c r="J23" s="63">
        <f t="shared" si="5"/>
        <v>0</v>
      </c>
      <c r="K23" s="51">
        <f>I23</f>
        <v>80000</v>
      </c>
      <c r="L23" s="63">
        <f t="shared" si="6"/>
        <v>0</v>
      </c>
      <c r="M23" s="51">
        <f>K23</f>
        <v>80000</v>
      </c>
      <c r="N23" s="63">
        <f t="shared" si="7"/>
        <v>0</v>
      </c>
      <c r="O23" s="51">
        <f>M23</f>
        <v>80000</v>
      </c>
      <c r="P23" s="63">
        <f t="shared" si="8"/>
        <v>0</v>
      </c>
      <c r="Q23" s="51">
        <f t="shared" ref="Q23:Q29" si="16">O23</f>
        <v>80000</v>
      </c>
      <c r="R23" s="63">
        <f t="shared" si="9"/>
        <v>28500.182809999998</v>
      </c>
      <c r="S23" s="63">
        <f t="shared" si="10"/>
        <v>28500.182809999998</v>
      </c>
      <c r="T23" s="51">
        <f>Q23+28500.18281</f>
        <v>108500.18281</v>
      </c>
      <c r="V23" s="47"/>
      <c r="W23" s="48"/>
    </row>
    <row r="24" spans="1:23" s="49" customFormat="1" ht="24" x14ac:dyDescent="0.25">
      <c r="A24" s="44" t="s">
        <v>37</v>
      </c>
      <c r="B24" s="50" t="s">
        <v>36</v>
      </c>
      <c r="C24" s="51">
        <v>0</v>
      </c>
      <c r="D24" s="63">
        <f t="shared" si="1"/>
        <v>0</v>
      </c>
      <c r="E24" s="51">
        <f>C24</f>
        <v>0</v>
      </c>
      <c r="F24" s="63">
        <f t="shared" si="3"/>
        <v>0</v>
      </c>
      <c r="G24" s="51">
        <f>E24</f>
        <v>0</v>
      </c>
      <c r="H24" s="63">
        <f t="shared" si="4"/>
        <v>0</v>
      </c>
      <c r="I24" s="51">
        <f>G24</f>
        <v>0</v>
      </c>
      <c r="J24" s="63">
        <f t="shared" si="5"/>
        <v>0</v>
      </c>
      <c r="K24" s="51">
        <f>I24</f>
        <v>0</v>
      </c>
      <c r="L24" s="63">
        <f t="shared" si="6"/>
        <v>0</v>
      </c>
      <c r="M24" s="51">
        <f>K24</f>
        <v>0</v>
      </c>
      <c r="N24" s="63">
        <f t="shared" si="7"/>
        <v>0</v>
      </c>
      <c r="O24" s="51">
        <f>M24</f>
        <v>0</v>
      </c>
      <c r="P24" s="63">
        <f t="shared" si="8"/>
        <v>0</v>
      </c>
      <c r="Q24" s="51">
        <f t="shared" si="16"/>
        <v>0</v>
      </c>
      <c r="R24" s="63">
        <f t="shared" si="9"/>
        <v>0</v>
      </c>
      <c r="S24" s="63">
        <f t="shared" si="10"/>
        <v>0</v>
      </c>
      <c r="T24" s="51">
        <f>Q24</f>
        <v>0</v>
      </c>
      <c r="V24" s="47"/>
      <c r="W24" s="48"/>
    </row>
    <row r="25" spans="1:23" s="49" customFormat="1" ht="24" hidden="1" x14ac:dyDescent="0.25">
      <c r="A25" s="44" t="s">
        <v>38</v>
      </c>
      <c r="B25" s="50" t="s">
        <v>36</v>
      </c>
      <c r="C25" s="51"/>
      <c r="D25" s="63">
        <f t="shared" si="1"/>
        <v>0</v>
      </c>
      <c r="E25" s="51">
        <f>C25</f>
        <v>0</v>
      </c>
      <c r="F25" s="63">
        <f t="shared" si="3"/>
        <v>0</v>
      </c>
      <c r="G25" s="51">
        <f>E25</f>
        <v>0</v>
      </c>
      <c r="H25" s="63">
        <f t="shared" si="4"/>
        <v>0</v>
      </c>
      <c r="I25" s="51">
        <f>G25</f>
        <v>0</v>
      </c>
      <c r="J25" s="63">
        <f t="shared" si="5"/>
        <v>0</v>
      </c>
      <c r="K25" s="51">
        <f>I25</f>
        <v>0</v>
      </c>
      <c r="L25" s="63">
        <f t="shared" si="6"/>
        <v>0</v>
      </c>
      <c r="M25" s="51">
        <f>K25</f>
        <v>0</v>
      </c>
      <c r="N25" s="63">
        <f t="shared" si="7"/>
        <v>0</v>
      </c>
      <c r="O25" s="51">
        <f>M25</f>
        <v>0</v>
      </c>
      <c r="P25" s="63">
        <f t="shared" si="8"/>
        <v>0</v>
      </c>
      <c r="Q25" s="51">
        <f t="shared" si="16"/>
        <v>0</v>
      </c>
      <c r="R25" s="63">
        <f t="shared" si="9"/>
        <v>0</v>
      </c>
      <c r="S25" s="63">
        <f t="shared" si="10"/>
        <v>0</v>
      </c>
      <c r="T25" s="51"/>
      <c r="V25" s="47"/>
      <c r="W25" s="48"/>
    </row>
    <row r="26" spans="1:23" s="49" customFormat="1" ht="36" hidden="1" x14ac:dyDescent="0.25">
      <c r="A26" s="44" t="s">
        <v>40</v>
      </c>
      <c r="B26" s="50" t="s">
        <v>39</v>
      </c>
      <c r="C26" s="51"/>
      <c r="D26" s="63">
        <f t="shared" si="1"/>
        <v>0</v>
      </c>
      <c r="E26" s="51">
        <f>C26</f>
        <v>0</v>
      </c>
      <c r="F26" s="63">
        <f t="shared" si="3"/>
        <v>0</v>
      </c>
      <c r="G26" s="51">
        <f>E26</f>
        <v>0</v>
      </c>
      <c r="H26" s="63">
        <f t="shared" si="4"/>
        <v>0</v>
      </c>
      <c r="I26" s="51">
        <f>G26</f>
        <v>0</v>
      </c>
      <c r="J26" s="63">
        <f t="shared" si="5"/>
        <v>0</v>
      </c>
      <c r="K26" s="51">
        <f>I26</f>
        <v>0</v>
      </c>
      <c r="L26" s="63">
        <f t="shared" si="6"/>
        <v>0</v>
      </c>
      <c r="M26" s="51">
        <f>K26</f>
        <v>0</v>
      </c>
      <c r="N26" s="63">
        <f t="shared" si="7"/>
        <v>0</v>
      </c>
      <c r="O26" s="51">
        <f>M26</f>
        <v>0</v>
      </c>
      <c r="P26" s="63">
        <f t="shared" si="8"/>
        <v>0</v>
      </c>
      <c r="Q26" s="51">
        <f t="shared" si="16"/>
        <v>0</v>
      </c>
      <c r="R26" s="63">
        <f t="shared" si="9"/>
        <v>0</v>
      </c>
      <c r="S26" s="63">
        <f t="shared" si="10"/>
        <v>0</v>
      </c>
      <c r="T26" s="51"/>
      <c r="V26" s="47"/>
      <c r="W26" s="48"/>
    </row>
    <row r="27" spans="1:23" s="49" customFormat="1" ht="16.5" customHeight="1" x14ac:dyDescent="0.25">
      <c r="A27" s="44" t="s">
        <v>42</v>
      </c>
      <c r="B27" s="50" t="s">
        <v>41</v>
      </c>
      <c r="C27" s="51">
        <v>250</v>
      </c>
      <c r="D27" s="63">
        <f t="shared" si="1"/>
        <v>0</v>
      </c>
      <c r="E27" s="51">
        <f>C27</f>
        <v>250</v>
      </c>
      <c r="F27" s="63">
        <f t="shared" si="3"/>
        <v>0</v>
      </c>
      <c r="G27" s="51">
        <f>E27</f>
        <v>250</v>
      </c>
      <c r="H27" s="63">
        <f t="shared" si="4"/>
        <v>0</v>
      </c>
      <c r="I27" s="51">
        <f>G27</f>
        <v>250</v>
      </c>
      <c r="J27" s="63">
        <f t="shared" si="5"/>
        <v>0</v>
      </c>
      <c r="K27" s="51">
        <f>I27</f>
        <v>250</v>
      </c>
      <c r="L27" s="63">
        <f t="shared" si="6"/>
        <v>0</v>
      </c>
      <c r="M27" s="51">
        <f>K27</f>
        <v>250</v>
      </c>
      <c r="N27" s="63">
        <f t="shared" si="7"/>
        <v>0</v>
      </c>
      <c r="O27" s="51">
        <f>M27</f>
        <v>250</v>
      </c>
      <c r="P27" s="63">
        <f t="shared" si="8"/>
        <v>0</v>
      </c>
      <c r="Q27" s="51">
        <f t="shared" si="16"/>
        <v>250</v>
      </c>
      <c r="R27" s="63">
        <f t="shared" si="9"/>
        <v>0</v>
      </c>
      <c r="S27" s="63">
        <f t="shared" si="10"/>
        <v>0</v>
      </c>
      <c r="T27" s="51">
        <f>Q27</f>
        <v>250</v>
      </c>
      <c r="V27" s="47"/>
      <c r="W27" s="48"/>
    </row>
    <row r="28" spans="1:23" s="49" customFormat="1" ht="15.75" hidden="1" x14ac:dyDescent="0.25">
      <c r="A28" s="44" t="s">
        <v>43</v>
      </c>
      <c r="B28" s="50" t="s">
        <v>41</v>
      </c>
      <c r="C28" s="51"/>
      <c r="D28" s="63">
        <f t="shared" si="1"/>
        <v>0</v>
      </c>
      <c r="E28" s="51">
        <f>C28</f>
        <v>0</v>
      </c>
      <c r="F28" s="63">
        <f t="shared" si="3"/>
        <v>0</v>
      </c>
      <c r="G28" s="51">
        <f>E28</f>
        <v>0</v>
      </c>
      <c r="H28" s="63">
        <f t="shared" si="4"/>
        <v>0</v>
      </c>
      <c r="I28" s="51">
        <f>G28</f>
        <v>0</v>
      </c>
      <c r="J28" s="63">
        <f t="shared" si="5"/>
        <v>0</v>
      </c>
      <c r="K28" s="51">
        <f>I28</f>
        <v>0</v>
      </c>
      <c r="L28" s="63">
        <f t="shared" si="6"/>
        <v>0</v>
      </c>
      <c r="M28" s="51">
        <f>K28</f>
        <v>0</v>
      </c>
      <c r="N28" s="63">
        <f t="shared" si="7"/>
        <v>0</v>
      </c>
      <c r="O28" s="51">
        <f>M28</f>
        <v>0</v>
      </c>
      <c r="P28" s="63">
        <f t="shared" si="8"/>
        <v>0</v>
      </c>
      <c r="Q28" s="51">
        <f t="shared" si="16"/>
        <v>0</v>
      </c>
      <c r="R28" s="63">
        <f t="shared" si="9"/>
        <v>0</v>
      </c>
      <c r="S28" s="63">
        <f t="shared" si="10"/>
        <v>0</v>
      </c>
      <c r="T28" s="51"/>
      <c r="V28" s="47"/>
      <c r="W28" s="48"/>
    </row>
    <row r="29" spans="1:23" s="49" customFormat="1" ht="25.5" customHeight="1" x14ac:dyDescent="0.25">
      <c r="A29" s="44" t="s">
        <v>45</v>
      </c>
      <c r="B29" s="50" t="s">
        <v>44</v>
      </c>
      <c r="C29" s="51">
        <v>13000</v>
      </c>
      <c r="D29" s="63">
        <f t="shared" si="1"/>
        <v>0</v>
      </c>
      <c r="E29" s="51">
        <f>C29</f>
        <v>13000</v>
      </c>
      <c r="F29" s="63">
        <f t="shared" si="3"/>
        <v>0</v>
      </c>
      <c r="G29" s="51">
        <f>E29</f>
        <v>13000</v>
      </c>
      <c r="H29" s="63">
        <f t="shared" si="4"/>
        <v>0</v>
      </c>
      <c r="I29" s="51">
        <f>G29</f>
        <v>13000</v>
      </c>
      <c r="J29" s="63">
        <f t="shared" si="5"/>
        <v>0</v>
      </c>
      <c r="K29" s="51">
        <f>I29</f>
        <v>13000</v>
      </c>
      <c r="L29" s="63">
        <f t="shared" si="6"/>
        <v>0</v>
      </c>
      <c r="M29" s="51">
        <f>K29</f>
        <v>13000</v>
      </c>
      <c r="N29" s="63">
        <f t="shared" si="7"/>
        <v>0</v>
      </c>
      <c r="O29" s="51">
        <f>M29</f>
        <v>13000</v>
      </c>
      <c r="P29" s="63">
        <f t="shared" si="8"/>
        <v>0</v>
      </c>
      <c r="Q29" s="51">
        <f t="shared" si="16"/>
        <v>13000</v>
      </c>
      <c r="R29" s="63">
        <f t="shared" si="9"/>
        <v>1000</v>
      </c>
      <c r="S29" s="63">
        <f t="shared" si="10"/>
        <v>1000</v>
      </c>
      <c r="T29" s="51">
        <f>Q29+1000</f>
        <v>14000</v>
      </c>
      <c r="V29" s="47"/>
      <c r="W29" s="48"/>
    </row>
    <row r="30" spans="1:23" s="49" customFormat="1" ht="24" hidden="1" x14ac:dyDescent="0.25">
      <c r="A30" s="44" t="s">
        <v>47</v>
      </c>
      <c r="B30" s="50" t="s">
        <v>46</v>
      </c>
      <c r="C30" s="51">
        <v>900</v>
      </c>
      <c r="D30" s="63">
        <f t="shared" si="1"/>
        <v>0</v>
      </c>
      <c r="E30" s="51">
        <v>900</v>
      </c>
      <c r="F30" s="63">
        <f t="shared" si="3"/>
        <v>0</v>
      </c>
      <c r="G30" s="51">
        <v>900</v>
      </c>
      <c r="H30" s="63">
        <f t="shared" si="4"/>
        <v>0</v>
      </c>
      <c r="I30" s="51">
        <v>900</v>
      </c>
      <c r="J30" s="63">
        <f t="shared" si="5"/>
        <v>0</v>
      </c>
      <c r="K30" s="51">
        <v>900</v>
      </c>
      <c r="L30" s="63">
        <f t="shared" si="6"/>
        <v>-900</v>
      </c>
      <c r="M30" s="51"/>
      <c r="N30" s="63">
        <f t="shared" si="7"/>
        <v>0</v>
      </c>
      <c r="O30" s="51"/>
      <c r="P30" s="63">
        <f t="shared" si="8"/>
        <v>900</v>
      </c>
      <c r="Q30" s="51">
        <v>900</v>
      </c>
      <c r="R30" s="63">
        <f t="shared" si="9"/>
        <v>0</v>
      </c>
      <c r="S30" s="63">
        <f t="shared" si="10"/>
        <v>0</v>
      </c>
      <c r="T30" s="51">
        <v>900</v>
      </c>
      <c r="V30" s="47"/>
      <c r="W30" s="48"/>
    </row>
    <row r="31" spans="1:23" s="49" customFormat="1" ht="18.75" customHeight="1" x14ac:dyDescent="0.25">
      <c r="A31" s="44" t="s">
        <v>49</v>
      </c>
      <c r="B31" s="50" t="s">
        <v>48</v>
      </c>
      <c r="C31" s="51">
        <f t="shared" ref="C31:T31" si="17">C32+C34</f>
        <v>70200</v>
      </c>
      <c r="D31" s="63">
        <f t="shared" si="1"/>
        <v>0</v>
      </c>
      <c r="E31" s="51">
        <f t="shared" si="17"/>
        <v>70200</v>
      </c>
      <c r="F31" s="63">
        <f t="shared" si="3"/>
        <v>0</v>
      </c>
      <c r="G31" s="51">
        <f t="shared" si="17"/>
        <v>70200</v>
      </c>
      <c r="H31" s="63">
        <f t="shared" si="4"/>
        <v>0</v>
      </c>
      <c r="I31" s="51">
        <f t="shared" si="17"/>
        <v>70200</v>
      </c>
      <c r="J31" s="63">
        <f t="shared" si="5"/>
        <v>0</v>
      </c>
      <c r="K31" s="51">
        <f t="shared" si="17"/>
        <v>70200</v>
      </c>
      <c r="L31" s="63">
        <f t="shared" si="6"/>
        <v>0</v>
      </c>
      <c r="M31" s="51">
        <f>M32+M34</f>
        <v>70200</v>
      </c>
      <c r="N31" s="63">
        <f t="shared" si="7"/>
        <v>0</v>
      </c>
      <c r="O31" s="51">
        <f>M31</f>
        <v>70200</v>
      </c>
      <c r="P31" s="63">
        <f t="shared" si="8"/>
        <v>0</v>
      </c>
      <c r="Q31" s="51">
        <f t="shared" si="17"/>
        <v>70200</v>
      </c>
      <c r="R31" s="63">
        <f t="shared" si="9"/>
        <v>-7700</v>
      </c>
      <c r="S31" s="63">
        <f t="shared" si="10"/>
        <v>-7700</v>
      </c>
      <c r="T31" s="51">
        <f t="shared" si="17"/>
        <v>62500</v>
      </c>
      <c r="V31" s="47"/>
      <c r="W31" s="48"/>
    </row>
    <row r="32" spans="1:23" s="49" customFormat="1" ht="18" customHeight="1" x14ac:dyDescent="0.25">
      <c r="A32" s="44" t="s">
        <v>51</v>
      </c>
      <c r="B32" s="50" t="s">
        <v>50</v>
      </c>
      <c r="C32" s="51">
        <v>30000</v>
      </c>
      <c r="D32" s="63">
        <f t="shared" si="1"/>
        <v>0</v>
      </c>
      <c r="E32" s="51">
        <f>C32</f>
        <v>30000</v>
      </c>
      <c r="F32" s="63">
        <f t="shared" si="3"/>
        <v>0</v>
      </c>
      <c r="G32" s="51">
        <f>E32</f>
        <v>30000</v>
      </c>
      <c r="H32" s="63">
        <f t="shared" si="4"/>
        <v>0</v>
      </c>
      <c r="I32" s="51">
        <f>G32</f>
        <v>30000</v>
      </c>
      <c r="J32" s="63">
        <f t="shared" si="5"/>
        <v>0</v>
      </c>
      <c r="K32" s="51">
        <f>I32</f>
        <v>30000</v>
      </c>
      <c r="L32" s="63">
        <f t="shared" si="6"/>
        <v>0</v>
      </c>
      <c r="M32" s="51">
        <f>K32</f>
        <v>30000</v>
      </c>
      <c r="N32" s="63">
        <f t="shared" si="7"/>
        <v>0</v>
      </c>
      <c r="O32" s="51">
        <f>M32</f>
        <v>30000</v>
      </c>
      <c r="P32" s="63">
        <f t="shared" si="8"/>
        <v>0</v>
      </c>
      <c r="Q32" s="51">
        <f>O32</f>
        <v>30000</v>
      </c>
      <c r="R32" s="63">
        <f t="shared" si="9"/>
        <v>6500</v>
      </c>
      <c r="S32" s="63">
        <f t="shared" si="10"/>
        <v>6500</v>
      </c>
      <c r="T32" s="51">
        <f>Q32+6500</f>
        <v>36500</v>
      </c>
      <c r="V32" s="47"/>
      <c r="W32" s="48"/>
    </row>
    <row r="33" spans="1:23" s="49" customFormat="1" ht="26.25" hidden="1" customHeight="1" x14ac:dyDescent="0.25">
      <c r="A33" s="44" t="s">
        <v>53</v>
      </c>
      <c r="B33" s="50" t="s">
        <v>52</v>
      </c>
      <c r="C33" s="51">
        <v>15000</v>
      </c>
      <c r="D33" s="63">
        <f t="shared" si="1"/>
        <v>0</v>
      </c>
      <c r="E33" s="51">
        <v>15000</v>
      </c>
      <c r="F33" s="63">
        <f t="shared" si="3"/>
        <v>0</v>
      </c>
      <c r="G33" s="51">
        <v>15000</v>
      </c>
      <c r="H33" s="63">
        <f t="shared" si="4"/>
        <v>0</v>
      </c>
      <c r="I33" s="51">
        <v>15000</v>
      </c>
      <c r="J33" s="63">
        <f t="shared" si="5"/>
        <v>0</v>
      </c>
      <c r="K33" s="51">
        <v>15000</v>
      </c>
      <c r="L33" s="63">
        <f t="shared" si="6"/>
        <v>-15000</v>
      </c>
      <c r="M33" s="51"/>
      <c r="N33" s="63">
        <f t="shared" si="7"/>
        <v>0</v>
      </c>
      <c r="O33" s="51"/>
      <c r="P33" s="63">
        <f t="shared" si="8"/>
        <v>15000</v>
      </c>
      <c r="Q33" s="51">
        <v>15000</v>
      </c>
      <c r="R33" s="63">
        <f t="shared" si="9"/>
        <v>0</v>
      </c>
      <c r="S33" s="63">
        <f t="shared" si="10"/>
        <v>0</v>
      </c>
      <c r="T33" s="51">
        <v>15000</v>
      </c>
      <c r="V33" s="47"/>
      <c r="W33" s="48"/>
    </row>
    <row r="34" spans="1:23" s="49" customFormat="1" ht="18.75" customHeight="1" x14ac:dyDescent="0.25">
      <c r="A34" s="44" t="s">
        <v>55</v>
      </c>
      <c r="B34" s="50" t="s">
        <v>54</v>
      </c>
      <c r="C34" s="51">
        <f t="shared" ref="C34:T34" si="18">C35+C37</f>
        <v>40200</v>
      </c>
      <c r="D34" s="63">
        <f t="shared" si="1"/>
        <v>0</v>
      </c>
      <c r="E34" s="51">
        <f t="shared" si="18"/>
        <v>40200</v>
      </c>
      <c r="F34" s="63">
        <f t="shared" si="3"/>
        <v>0</v>
      </c>
      <c r="G34" s="51">
        <f t="shared" si="18"/>
        <v>40200</v>
      </c>
      <c r="H34" s="63">
        <f t="shared" si="4"/>
        <v>0</v>
      </c>
      <c r="I34" s="51">
        <f t="shared" si="18"/>
        <v>40200</v>
      </c>
      <c r="J34" s="63">
        <f t="shared" si="5"/>
        <v>0</v>
      </c>
      <c r="K34" s="51">
        <f t="shared" si="18"/>
        <v>40200</v>
      </c>
      <c r="L34" s="63">
        <f t="shared" si="6"/>
        <v>0</v>
      </c>
      <c r="M34" s="51">
        <f>M35+M37</f>
        <v>40200</v>
      </c>
      <c r="N34" s="63">
        <f t="shared" si="7"/>
        <v>0</v>
      </c>
      <c r="O34" s="51">
        <f>O35+O37</f>
        <v>40200</v>
      </c>
      <c r="P34" s="63">
        <f t="shared" si="8"/>
        <v>0</v>
      </c>
      <c r="Q34" s="51">
        <f t="shared" si="18"/>
        <v>40200</v>
      </c>
      <c r="R34" s="63">
        <f t="shared" si="9"/>
        <v>-14200</v>
      </c>
      <c r="S34" s="63">
        <f t="shared" si="10"/>
        <v>-14200</v>
      </c>
      <c r="T34" s="51">
        <f t="shared" si="18"/>
        <v>26000</v>
      </c>
      <c r="V34" s="47"/>
      <c r="W34" s="48"/>
    </row>
    <row r="35" spans="1:23" s="49" customFormat="1" ht="15.75" x14ac:dyDescent="0.25">
      <c r="A35" s="44" t="s">
        <v>57</v>
      </c>
      <c r="B35" s="50" t="s">
        <v>56</v>
      </c>
      <c r="C35" s="51">
        <v>25000</v>
      </c>
      <c r="D35" s="63">
        <f t="shared" si="1"/>
        <v>0</v>
      </c>
      <c r="E35" s="51">
        <f>C35</f>
        <v>25000</v>
      </c>
      <c r="F35" s="63">
        <f t="shared" si="3"/>
        <v>0</v>
      </c>
      <c r="G35" s="51">
        <f>E35</f>
        <v>25000</v>
      </c>
      <c r="H35" s="63">
        <f t="shared" si="4"/>
        <v>0</v>
      </c>
      <c r="I35" s="51">
        <f>G35</f>
        <v>25000</v>
      </c>
      <c r="J35" s="63">
        <f t="shared" si="5"/>
        <v>0</v>
      </c>
      <c r="K35" s="51">
        <f>I35</f>
        <v>25000</v>
      </c>
      <c r="L35" s="63">
        <f t="shared" si="6"/>
        <v>0</v>
      </c>
      <c r="M35" s="51">
        <f>K35</f>
        <v>25000</v>
      </c>
      <c r="N35" s="63">
        <f t="shared" si="7"/>
        <v>0</v>
      </c>
      <c r="O35" s="51">
        <f>M35</f>
        <v>25000</v>
      </c>
      <c r="P35" s="63">
        <f t="shared" si="8"/>
        <v>0</v>
      </c>
      <c r="Q35" s="51">
        <f t="shared" ref="Q35:Q37" si="19">O35</f>
        <v>25000</v>
      </c>
      <c r="R35" s="63">
        <f t="shared" si="9"/>
        <v>-8600</v>
      </c>
      <c r="S35" s="63">
        <f t="shared" si="10"/>
        <v>-8600</v>
      </c>
      <c r="T35" s="51">
        <f>Q35-8600</f>
        <v>16400</v>
      </c>
      <c r="V35" s="47"/>
      <c r="W35" s="48"/>
    </row>
    <row r="36" spans="1:23" s="49" customFormat="1" ht="24" hidden="1" x14ac:dyDescent="0.25">
      <c r="A36" s="44" t="s">
        <v>59</v>
      </c>
      <c r="B36" s="50" t="s">
        <v>58</v>
      </c>
      <c r="C36" s="51"/>
      <c r="D36" s="63">
        <f t="shared" si="1"/>
        <v>0</v>
      </c>
      <c r="E36" s="51">
        <f>C36</f>
        <v>0</v>
      </c>
      <c r="F36" s="63">
        <f t="shared" si="3"/>
        <v>0</v>
      </c>
      <c r="G36" s="51"/>
      <c r="H36" s="63">
        <f t="shared" si="4"/>
        <v>0</v>
      </c>
      <c r="I36" s="51"/>
      <c r="J36" s="63">
        <f t="shared" si="5"/>
        <v>0</v>
      </c>
      <c r="K36" s="51"/>
      <c r="L36" s="63">
        <f t="shared" si="6"/>
        <v>0</v>
      </c>
      <c r="M36" s="51"/>
      <c r="N36" s="63">
        <f t="shared" si="7"/>
        <v>0</v>
      </c>
      <c r="O36" s="51"/>
      <c r="P36" s="63">
        <f t="shared" si="8"/>
        <v>0</v>
      </c>
      <c r="Q36" s="51"/>
      <c r="R36" s="63">
        <f t="shared" si="9"/>
        <v>0</v>
      </c>
      <c r="S36" s="63">
        <f t="shared" si="10"/>
        <v>0</v>
      </c>
      <c r="T36" s="51"/>
      <c r="V36" s="47"/>
      <c r="W36" s="48"/>
    </row>
    <row r="37" spans="1:23" s="49" customFormat="1" ht="15.75" x14ac:dyDescent="0.25">
      <c r="A37" s="44" t="s">
        <v>61</v>
      </c>
      <c r="B37" s="50" t="s">
        <v>60</v>
      </c>
      <c r="C37" s="51">
        <v>15200</v>
      </c>
      <c r="D37" s="63">
        <f t="shared" si="1"/>
        <v>0</v>
      </c>
      <c r="E37" s="51">
        <f>C37</f>
        <v>15200</v>
      </c>
      <c r="F37" s="63">
        <f t="shared" si="3"/>
        <v>0</v>
      </c>
      <c r="G37" s="51">
        <f>E37</f>
        <v>15200</v>
      </c>
      <c r="H37" s="63">
        <f t="shared" si="4"/>
        <v>0</v>
      </c>
      <c r="I37" s="51">
        <f>G37</f>
        <v>15200</v>
      </c>
      <c r="J37" s="63">
        <f t="shared" si="5"/>
        <v>0</v>
      </c>
      <c r="K37" s="51">
        <f>I37</f>
        <v>15200</v>
      </c>
      <c r="L37" s="63">
        <f t="shared" si="6"/>
        <v>0</v>
      </c>
      <c r="M37" s="51">
        <f>K37</f>
        <v>15200</v>
      </c>
      <c r="N37" s="63">
        <f t="shared" si="7"/>
        <v>0</v>
      </c>
      <c r="O37" s="51">
        <f>M37</f>
        <v>15200</v>
      </c>
      <c r="P37" s="63">
        <f t="shared" si="8"/>
        <v>0</v>
      </c>
      <c r="Q37" s="51">
        <f t="shared" si="19"/>
        <v>15200</v>
      </c>
      <c r="R37" s="63">
        <f t="shared" si="9"/>
        <v>-5600</v>
      </c>
      <c r="S37" s="63">
        <f t="shared" si="10"/>
        <v>-5600</v>
      </c>
      <c r="T37" s="51">
        <f>Q37-5600</f>
        <v>9600</v>
      </c>
      <c r="V37" s="47"/>
      <c r="W37" s="48"/>
    </row>
    <row r="38" spans="1:23" s="49" customFormat="1" ht="24" hidden="1" x14ac:dyDescent="0.25">
      <c r="A38" s="44" t="s">
        <v>63</v>
      </c>
      <c r="B38" s="50" t="s">
        <v>62</v>
      </c>
      <c r="C38" s="51">
        <v>13100</v>
      </c>
      <c r="D38" s="63">
        <f t="shared" si="1"/>
        <v>0</v>
      </c>
      <c r="E38" s="51">
        <v>13100</v>
      </c>
      <c r="F38" s="63">
        <f t="shared" si="3"/>
        <v>0</v>
      </c>
      <c r="G38" s="51">
        <v>13100</v>
      </c>
      <c r="H38" s="63">
        <f t="shared" si="4"/>
        <v>0</v>
      </c>
      <c r="I38" s="51">
        <v>13100</v>
      </c>
      <c r="J38" s="63">
        <f t="shared" si="5"/>
        <v>0</v>
      </c>
      <c r="K38" s="51">
        <v>13100</v>
      </c>
      <c r="L38" s="63">
        <f t="shared" si="6"/>
        <v>-13100</v>
      </c>
      <c r="M38" s="51"/>
      <c r="N38" s="63">
        <f t="shared" si="7"/>
        <v>0</v>
      </c>
      <c r="O38" s="51"/>
      <c r="P38" s="63">
        <f t="shared" si="8"/>
        <v>13100</v>
      </c>
      <c r="Q38" s="51">
        <v>13100</v>
      </c>
      <c r="R38" s="63">
        <f t="shared" si="9"/>
        <v>0</v>
      </c>
      <c r="S38" s="63">
        <f t="shared" si="10"/>
        <v>0</v>
      </c>
      <c r="T38" s="51">
        <v>13100</v>
      </c>
      <c r="V38" s="47"/>
      <c r="W38" s="48"/>
    </row>
    <row r="39" spans="1:23" s="49" customFormat="1" ht="15.75" x14ac:dyDescent="0.25">
      <c r="A39" s="44" t="s">
        <v>65</v>
      </c>
      <c r="B39" s="50" t="s">
        <v>64</v>
      </c>
      <c r="C39" s="51">
        <f t="shared" ref="C39:T39" si="20">C40+C42</f>
        <v>6500</v>
      </c>
      <c r="D39" s="63">
        <f t="shared" si="1"/>
        <v>0</v>
      </c>
      <c r="E39" s="51">
        <f t="shared" si="20"/>
        <v>6500</v>
      </c>
      <c r="F39" s="63">
        <f t="shared" si="3"/>
        <v>0</v>
      </c>
      <c r="G39" s="51">
        <f t="shared" si="20"/>
        <v>6500</v>
      </c>
      <c r="H39" s="63">
        <f t="shared" si="4"/>
        <v>0</v>
      </c>
      <c r="I39" s="51">
        <f t="shared" si="20"/>
        <v>6500</v>
      </c>
      <c r="J39" s="63">
        <f t="shared" si="5"/>
        <v>0</v>
      </c>
      <c r="K39" s="51">
        <f t="shared" si="20"/>
        <v>6500</v>
      </c>
      <c r="L39" s="63">
        <f t="shared" si="6"/>
        <v>0</v>
      </c>
      <c r="M39" s="51">
        <f>M40+M42</f>
        <v>6500</v>
      </c>
      <c r="N39" s="63">
        <f t="shared" si="7"/>
        <v>0</v>
      </c>
      <c r="O39" s="51">
        <f>O40+O42</f>
        <v>6500</v>
      </c>
      <c r="P39" s="63">
        <f t="shared" si="8"/>
        <v>0</v>
      </c>
      <c r="Q39" s="51">
        <f t="shared" si="20"/>
        <v>6500</v>
      </c>
      <c r="R39" s="63">
        <f t="shared" si="9"/>
        <v>500</v>
      </c>
      <c r="S39" s="63">
        <f t="shared" si="10"/>
        <v>500</v>
      </c>
      <c r="T39" s="51">
        <f t="shared" si="20"/>
        <v>7000</v>
      </c>
      <c r="U39" s="52"/>
      <c r="V39" s="47"/>
      <c r="W39" s="48"/>
    </row>
    <row r="40" spans="1:23" s="49" customFormat="1" ht="24" x14ac:dyDescent="0.25">
      <c r="A40" s="44" t="s">
        <v>67</v>
      </c>
      <c r="B40" s="50" t="s">
        <v>66</v>
      </c>
      <c r="C40" s="51">
        <v>6450</v>
      </c>
      <c r="D40" s="63">
        <f t="shared" si="1"/>
        <v>0</v>
      </c>
      <c r="E40" s="51">
        <f>C40</f>
        <v>6450</v>
      </c>
      <c r="F40" s="63">
        <f t="shared" si="3"/>
        <v>0</v>
      </c>
      <c r="G40" s="51">
        <f>E40</f>
        <v>6450</v>
      </c>
      <c r="H40" s="63">
        <f t="shared" si="4"/>
        <v>0</v>
      </c>
      <c r="I40" s="51">
        <f>G40</f>
        <v>6450</v>
      </c>
      <c r="J40" s="63">
        <f t="shared" si="5"/>
        <v>0</v>
      </c>
      <c r="K40" s="51">
        <f>I40</f>
        <v>6450</v>
      </c>
      <c r="L40" s="63">
        <f t="shared" si="6"/>
        <v>0</v>
      </c>
      <c r="M40" s="51">
        <f>K40</f>
        <v>6450</v>
      </c>
      <c r="N40" s="63">
        <f t="shared" si="7"/>
        <v>0</v>
      </c>
      <c r="O40" s="51">
        <f>M40</f>
        <v>6450</v>
      </c>
      <c r="P40" s="63">
        <f t="shared" si="8"/>
        <v>0</v>
      </c>
      <c r="Q40" s="51">
        <f>O40</f>
        <v>6450</v>
      </c>
      <c r="R40" s="63">
        <f t="shared" si="9"/>
        <v>500</v>
      </c>
      <c r="S40" s="63">
        <f t="shared" si="10"/>
        <v>500</v>
      </c>
      <c r="T40" s="51">
        <f>Q40+500</f>
        <v>6950</v>
      </c>
      <c r="V40" s="47"/>
      <c r="W40" s="48"/>
    </row>
    <row r="41" spans="1:23" s="49" customFormat="1" ht="36" hidden="1" x14ac:dyDescent="0.25">
      <c r="A41" s="44" t="s">
        <v>69</v>
      </c>
      <c r="B41" s="50" t="s">
        <v>68</v>
      </c>
      <c r="C41" s="51"/>
      <c r="D41" s="63">
        <f t="shared" si="1"/>
        <v>0</v>
      </c>
      <c r="E41" s="51">
        <f>C41</f>
        <v>0</v>
      </c>
      <c r="F41" s="63">
        <f t="shared" si="3"/>
        <v>0</v>
      </c>
      <c r="G41" s="51"/>
      <c r="H41" s="63">
        <f t="shared" si="4"/>
        <v>0</v>
      </c>
      <c r="I41" s="51"/>
      <c r="J41" s="63">
        <f t="shared" si="5"/>
        <v>0</v>
      </c>
      <c r="K41" s="51"/>
      <c r="L41" s="63">
        <f t="shared" si="6"/>
        <v>0</v>
      </c>
      <c r="M41" s="51"/>
      <c r="N41" s="63">
        <f t="shared" si="7"/>
        <v>0</v>
      </c>
      <c r="O41" s="51"/>
      <c r="P41" s="63">
        <f t="shared" si="8"/>
        <v>0</v>
      </c>
      <c r="Q41" s="51"/>
      <c r="R41" s="63">
        <f t="shared" si="9"/>
        <v>0</v>
      </c>
      <c r="S41" s="63">
        <f t="shared" si="10"/>
        <v>0</v>
      </c>
      <c r="T41" s="51"/>
      <c r="V41" s="47"/>
      <c r="W41" s="48"/>
    </row>
    <row r="42" spans="1:23" s="49" customFormat="1" ht="24" x14ac:dyDescent="0.25">
      <c r="A42" s="44" t="s">
        <v>71</v>
      </c>
      <c r="B42" s="50" t="s">
        <v>70</v>
      </c>
      <c r="C42" s="51">
        <v>50</v>
      </c>
      <c r="D42" s="63">
        <f t="shared" si="1"/>
        <v>0</v>
      </c>
      <c r="E42" s="51">
        <f>C42</f>
        <v>50</v>
      </c>
      <c r="F42" s="63">
        <f t="shared" si="3"/>
        <v>0</v>
      </c>
      <c r="G42" s="51">
        <f>E42</f>
        <v>50</v>
      </c>
      <c r="H42" s="63">
        <f t="shared" si="4"/>
        <v>0</v>
      </c>
      <c r="I42" s="51">
        <f>G42</f>
        <v>50</v>
      </c>
      <c r="J42" s="63">
        <f t="shared" si="5"/>
        <v>0</v>
      </c>
      <c r="K42" s="51">
        <f>I42</f>
        <v>50</v>
      </c>
      <c r="L42" s="63">
        <f t="shared" si="6"/>
        <v>0</v>
      </c>
      <c r="M42" s="51">
        <f>K42</f>
        <v>50</v>
      </c>
      <c r="N42" s="63">
        <f t="shared" si="7"/>
        <v>0</v>
      </c>
      <c r="O42" s="51">
        <f>M42</f>
        <v>50</v>
      </c>
      <c r="P42" s="63">
        <f t="shared" si="8"/>
        <v>0</v>
      </c>
      <c r="Q42" s="51">
        <f>O42</f>
        <v>50</v>
      </c>
      <c r="R42" s="63">
        <f t="shared" si="9"/>
        <v>0</v>
      </c>
      <c r="S42" s="63">
        <f t="shared" si="10"/>
        <v>0</v>
      </c>
      <c r="T42" s="51">
        <f t="shared" ref="T42" si="21">Q42</f>
        <v>50</v>
      </c>
      <c r="V42" s="47"/>
      <c r="W42" s="48"/>
    </row>
    <row r="43" spans="1:23" s="49" customFormat="1" ht="24" hidden="1" x14ac:dyDescent="0.25">
      <c r="A43" s="44" t="s">
        <v>73</v>
      </c>
      <c r="B43" s="50" t="s">
        <v>72</v>
      </c>
      <c r="C43" s="51">
        <v>160</v>
      </c>
      <c r="D43" s="63">
        <f t="shared" si="1"/>
        <v>0</v>
      </c>
      <c r="E43" s="51">
        <v>160</v>
      </c>
      <c r="F43" s="63">
        <f t="shared" si="3"/>
        <v>0</v>
      </c>
      <c r="G43" s="51">
        <v>160</v>
      </c>
      <c r="H43" s="63">
        <f t="shared" si="4"/>
        <v>0</v>
      </c>
      <c r="I43" s="51">
        <v>160</v>
      </c>
      <c r="J43" s="63">
        <f t="shared" si="5"/>
        <v>0</v>
      </c>
      <c r="K43" s="51">
        <v>160</v>
      </c>
      <c r="L43" s="63">
        <f t="shared" si="6"/>
        <v>-160</v>
      </c>
      <c r="M43" s="51"/>
      <c r="N43" s="63">
        <f t="shared" si="7"/>
        <v>0</v>
      </c>
      <c r="O43" s="51"/>
      <c r="P43" s="63">
        <f t="shared" si="8"/>
        <v>160</v>
      </c>
      <c r="Q43" s="51">
        <v>160</v>
      </c>
      <c r="R43" s="63">
        <f t="shared" si="9"/>
        <v>0</v>
      </c>
      <c r="S43" s="63">
        <f t="shared" si="10"/>
        <v>0</v>
      </c>
      <c r="T43" s="51">
        <v>160</v>
      </c>
      <c r="V43" s="47"/>
      <c r="W43" s="48"/>
    </row>
    <row r="44" spans="1:23" s="49" customFormat="1" ht="48" hidden="1" x14ac:dyDescent="0.25">
      <c r="A44" s="44" t="s">
        <v>75</v>
      </c>
      <c r="B44" s="50" t="s">
        <v>74</v>
      </c>
      <c r="C44" s="53">
        <v>0</v>
      </c>
      <c r="D44" s="63">
        <f t="shared" si="1"/>
        <v>0</v>
      </c>
      <c r="E44" s="53">
        <v>0</v>
      </c>
      <c r="F44" s="63">
        <f t="shared" si="3"/>
        <v>0</v>
      </c>
      <c r="G44" s="53">
        <v>0</v>
      </c>
      <c r="H44" s="63">
        <f t="shared" si="4"/>
        <v>0</v>
      </c>
      <c r="I44" s="53">
        <v>0</v>
      </c>
      <c r="J44" s="63">
        <f t="shared" si="5"/>
        <v>0</v>
      </c>
      <c r="K44" s="53">
        <v>0</v>
      </c>
      <c r="L44" s="63">
        <f t="shared" si="6"/>
        <v>0</v>
      </c>
      <c r="M44" s="53"/>
      <c r="N44" s="63">
        <f t="shared" si="7"/>
        <v>0</v>
      </c>
      <c r="O44" s="53"/>
      <c r="P44" s="63">
        <f t="shared" si="8"/>
        <v>0</v>
      </c>
      <c r="Q44" s="53">
        <v>0</v>
      </c>
      <c r="R44" s="63">
        <f t="shared" si="9"/>
        <v>0</v>
      </c>
      <c r="S44" s="63">
        <f t="shared" si="10"/>
        <v>0</v>
      </c>
      <c r="T44" s="53">
        <v>0</v>
      </c>
      <c r="V44" s="47"/>
      <c r="W44" s="48"/>
    </row>
    <row r="45" spans="1:23" s="49" customFormat="1" ht="72" hidden="1" x14ac:dyDescent="0.25">
      <c r="A45" s="44" t="s">
        <v>77</v>
      </c>
      <c r="B45" s="50" t="s">
        <v>76</v>
      </c>
      <c r="C45" s="53">
        <v>0</v>
      </c>
      <c r="D45" s="63">
        <f t="shared" si="1"/>
        <v>0</v>
      </c>
      <c r="E45" s="53">
        <v>0</v>
      </c>
      <c r="F45" s="63">
        <f t="shared" si="3"/>
        <v>0</v>
      </c>
      <c r="G45" s="53">
        <v>0</v>
      </c>
      <c r="H45" s="63">
        <f t="shared" si="4"/>
        <v>0</v>
      </c>
      <c r="I45" s="53">
        <v>0</v>
      </c>
      <c r="J45" s="63">
        <f t="shared" si="5"/>
        <v>0</v>
      </c>
      <c r="K45" s="53">
        <v>0</v>
      </c>
      <c r="L45" s="63">
        <f t="shared" si="6"/>
        <v>0</v>
      </c>
      <c r="M45" s="53"/>
      <c r="N45" s="63">
        <f t="shared" si="7"/>
        <v>0</v>
      </c>
      <c r="O45" s="53"/>
      <c r="P45" s="63">
        <f t="shared" si="8"/>
        <v>0</v>
      </c>
      <c r="Q45" s="53">
        <v>0</v>
      </c>
      <c r="R45" s="63">
        <f t="shared" si="9"/>
        <v>0</v>
      </c>
      <c r="S45" s="63">
        <f t="shared" si="10"/>
        <v>0</v>
      </c>
      <c r="T45" s="53">
        <v>0</v>
      </c>
      <c r="V45" s="47"/>
      <c r="W45" s="48"/>
    </row>
    <row r="46" spans="1:23" s="49" customFormat="1" ht="36" x14ac:dyDescent="0.25">
      <c r="A46" s="44" t="s">
        <v>79</v>
      </c>
      <c r="B46" s="50" t="s">
        <v>78</v>
      </c>
      <c r="C46" s="53">
        <v>0</v>
      </c>
      <c r="D46" s="63">
        <f t="shared" si="1"/>
        <v>0</v>
      </c>
      <c r="E46" s="53">
        <v>0</v>
      </c>
      <c r="F46" s="63">
        <f t="shared" si="3"/>
        <v>0</v>
      </c>
      <c r="G46" s="53">
        <v>0</v>
      </c>
      <c r="H46" s="63">
        <f t="shared" si="4"/>
        <v>0</v>
      </c>
      <c r="I46" s="53">
        <v>0</v>
      </c>
      <c r="J46" s="63">
        <f t="shared" si="5"/>
        <v>82.5</v>
      </c>
      <c r="K46" s="53">
        <f>K47</f>
        <v>82.5</v>
      </c>
      <c r="L46" s="63">
        <f t="shared" si="6"/>
        <v>0</v>
      </c>
      <c r="M46" s="53">
        <f>M47</f>
        <v>82.5</v>
      </c>
      <c r="N46" s="63">
        <f t="shared" si="7"/>
        <v>0</v>
      </c>
      <c r="O46" s="53">
        <f>O47</f>
        <v>82.5</v>
      </c>
      <c r="P46" s="63">
        <f t="shared" si="8"/>
        <v>0</v>
      </c>
      <c r="Q46" s="53">
        <f t="shared" ref="Q46:T46" si="22">Q47</f>
        <v>82.5</v>
      </c>
      <c r="R46" s="63">
        <f t="shared" si="9"/>
        <v>-0.5</v>
      </c>
      <c r="S46" s="63">
        <f t="shared" si="10"/>
        <v>82</v>
      </c>
      <c r="T46" s="53">
        <f t="shared" si="22"/>
        <v>82</v>
      </c>
      <c r="V46" s="47"/>
      <c r="W46" s="48"/>
    </row>
    <row r="47" spans="1:23" s="49" customFormat="1" ht="15.75" x14ac:dyDescent="0.25">
      <c r="A47" s="44" t="s">
        <v>81</v>
      </c>
      <c r="B47" s="50" t="s">
        <v>80</v>
      </c>
      <c r="C47" s="53">
        <v>0</v>
      </c>
      <c r="D47" s="63">
        <f t="shared" si="1"/>
        <v>0</v>
      </c>
      <c r="E47" s="53">
        <v>0</v>
      </c>
      <c r="F47" s="63">
        <f t="shared" si="3"/>
        <v>0</v>
      </c>
      <c r="G47" s="53">
        <v>0</v>
      </c>
      <c r="H47" s="63">
        <f t="shared" si="4"/>
        <v>0</v>
      </c>
      <c r="I47" s="53">
        <v>0</v>
      </c>
      <c r="J47" s="63">
        <f t="shared" si="5"/>
        <v>82.5</v>
      </c>
      <c r="K47" s="53">
        <v>82.5</v>
      </c>
      <c r="L47" s="63">
        <f t="shared" si="6"/>
        <v>0</v>
      </c>
      <c r="M47" s="53">
        <f>K47</f>
        <v>82.5</v>
      </c>
      <c r="N47" s="63">
        <f t="shared" si="7"/>
        <v>0</v>
      </c>
      <c r="O47" s="53">
        <f>M47</f>
        <v>82.5</v>
      </c>
      <c r="P47" s="63">
        <f t="shared" si="8"/>
        <v>0</v>
      </c>
      <c r="Q47" s="53">
        <f>O47</f>
        <v>82.5</v>
      </c>
      <c r="R47" s="63">
        <f t="shared" si="9"/>
        <v>-0.5</v>
      </c>
      <c r="S47" s="63">
        <f t="shared" si="10"/>
        <v>82</v>
      </c>
      <c r="T47" s="53">
        <f>Q47-0.5</f>
        <v>82</v>
      </c>
      <c r="V47" s="47"/>
      <c r="W47" s="48"/>
    </row>
    <row r="48" spans="1:23" s="49" customFormat="1" ht="24" hidden="1" x14ac:dyDescent="0.25">
      <c r="A48" s="44" t="s">
        <v>83</v>
      </c>
      <c r="B48" s="50" t="s">
        <v>82</v>
      </c>
      <c r="C48" s="53">
        <v>0</v>
      </c>
      <c r="D48" s="63">
        <f t="shared" si="1"/>
        <v>0</v>
      </c>
      <c r="E48" s="53">
        <v>0</v>
      </c>
      <c r="F48" s="63">
        <f t="shared" si="3"/>
        <v>0</v>
      </c>
      <c r="G48" s="53">
        <v>0</v>
      </c>
      <c r="H48" s="63">
        <f t="shared" si="4"/>
        <v>0</v>
      </c>
      <c r="I48" s="53">
        <v>0</v>
      </c>
      <c r="J48" s="63">
        <f t="shared" si="5"/>
        <v>0</v>
      </c>
      <c r="K48" s="53">
        <v>0</v>
      </c>
      <c r="L48" s="63">
        <f t="shared" si="6"/>
        <v>0</v>
      </c>
      <c r="M48" s="53"/>
      <c r="N48" s="63">
        <f t="shared" si="7"/>
        <v>0</v>
      </c>
      <c r="O48" s="53"/>
      <c r="P48" s="63">
        <f t="shared" si="8"/>
        <v>0</v>
      </c>
      <c r="Q48" s="53">
        <v>0</v>
      </c>
      <c r="R48" s="63">
        <f t="shared" si="9"/>
        <v>0</v>
      </c>
      <c r="S48" s="63">
        <f t="shared" si="10"/>
        <v>0</v>
      </c>
      <c r="T48" s="53">
        <v>0</v>
      </c>
      <c r="V48" s="47"/>
      <c r="W48" s="48"/>
    </row>
    <row r="49" spans="1:23" s="49" customFormat="1" ht="24" hidden="1" x14ac:dyDescent="0.25">
      <c r="A49" s="44" t="s">
        <v>85</v>
      </c>
      <c r="B49" s="50" t="s">
        <v>84</v>
      </c>
      <c r="C49" s="53">
        <v>0</v>
      </c>
      <c r="D49" s="63">
        <f t="shared" si="1"/>
        <v>0</v>
      </c>
      <c r="E49" s="53">
        <v>0</v>
      </c>
      <c r="F49" s="63">
        <f t="shared" si="3"/>
        <v>0</v>
      </c>
      <c r="G49" s="53">
        <v>0</v>
      </c>
      <c r="H49" s="63">
        <f t="shared" si="4"/>
        <v>0</v>
      </c>
      <c r="I49" s="53">
        <v>0</v>
      </c>
      <c r="J49" s="63">
        <f t="shared" si="5"/>
        <v>0</v>
      </c>
      <c r="K49" s="53">
        <v>0</v>
      </c>
      <c r="L49" s="63">
        <f t="shared" si="6"/>
        <v>0</v>
      </c>
      <c r="M49" s="53"/>
      <c r="N49" s="63">
        <f t="shared" si="7"/>
        <v>0</v>
      </c>
      <c r="O49" s="53"/>
      <c r="P49" s="63">
        <f t="shared" si="8"/>
        <v>0</v>
      </c>
      <c r="Q49" s="53">
        <v>0</v>
      </c>
      <c r="R49" s="63">
        <f t="shared" si="9"/>
        <v>0</v>
      </c>
      <c r="S49" s="63">
        <f t="shared" si="10"/>
        <v>0</v>
      </c>
      <c r="T49" s="53">
        <v>0</v>
      </c>
      <c r="V49" s="47"/>
      <c r="W49" s="48"/>
    </row>
    <row r="50" spans="1:23" s="49" customFormat="1" ht="24" x14ac:dyDescent="0.25">
      <c r="A50" s="44" t="s">
        <v>87</v>
      </c>
      <c r="B50" s="50" t="s">
        <v>86</v>
      </c>
      <c r="C50" s="53">
        <v>0</v>
      </c>
      <c r="D50" s="63">
        <f t="shared" si="1"/>
        <v>0</v>
      </c>
      <c r="E50" s="53">
        <v>0</v>
      </c>
      <c r="F50" s="63">
        <f t="shared" si="3"/>
        <v>0</v>
      </c>
      <c r="G50" s="53">
        <v>0</v>
      </c>
      <c r="H50" s="63">
        <f t="shared" si="4"/>
        <v>0</v>
      </c>
      <c r="I50" s="53">
        <v>0</v>
      </c>
      <c r="J50" s="63">
        <f t="shared" si="5"/>
        <v>0</v>
      </c>
      <c r="K50" s="53">
        <v>0</v>
      </c>
      <c r="L50" s="63">
        <f t="shared" si="6"/>
        <v>0</v>
      </c>
      <c r="M50" s="53">
        <v>0</v>
      </c>
      <c r="N50" s="63">
        <f t="shared" si="7"/>
        <v>0</v>
      </c>
      <c r="O50" s="53">
        <f>M50</f>
        <v>0</v>
      </c>
      <c r="P50" s="63">
        <f t="shared" si="8"/>
        <v>0</v>
      </c>
      <c r="Q50" s="53">
        <v>0</v>
      </c>
      <c r="R50" s="63">
        <f t="shared" si="9"/>
        <v>0</v>
      </c>
      <c r="S50" s="63">
        <f t="shared" si="10"/>
        <v>0</v>
      </c>
      <c r="T50" s="53">
        <v>0</v>
      </c>
      <c r="V50" s="47"/>
      <c r="W50" s="48"/>
    </row>
    <row r="51" spans="1:23" s="49" customFormat="1" ht="36" hidden="1" x14ac:dyDescent="0.25">
      <c r="A51" s="44" t="s">
        <v>89</v>
      </c>
      <c r="B51" s="50" t="s">
        <v>88</v>
      </c>
      <c r="C51" s="53">
        <v>0</v>
      </c>
      <c r="D51" s="63">
        <f t="shared" si="1"/>
        <v>0</v>
      </c>
      <c r="E51" s="53">
        <v>0</v>
      </c>
      <c r="F51" s="63">
        <f t="shared" si="3"/>
        <v>0</v>
      </c>
      <c r="G51" s="53">
        <v>0</v>
      </c>
      <c r="H51" s="63">
        <f t="shared" si="4"/>
        <v>0</v>
      </c>
      <c r="I51" s="53">
        <v>0</v>
      </c>
      <c r="J51" s="63">
        <f t="shared" si="5"/>
        <v>0</v>
      </c>
      <c r="K51" s="53">
        <v>0</v>
      </c>
      <c r="L51" s="63">
        <f t="shared" si="6"/>
        <v>0</v>
      </c>
      <c r="M51" s="53"/>
      <c r="N51" s="63">
        <f t="shared" si="7"/>
        <v>0</v>
      </c>
      <c r="O51" s="53"/>
      <c r="P51" s="63">
        <f t="shared" si="8"/>
        <v>0</v>
      </c>
      <c r="Q51" s="53">
        <v>0</v>
      </c>
      <c r="R51" s="63">
        <f t="shared" si="9"/>
        <v>0</v>
      </c>
      <c r="S51" s="63">
        <f t="shared" si="10"/>
        <v>0</v>
      </c>
      <c r="T51" s="53">
        <v>0</v>
      </c>
      <c r="V51" s="47"/>
      <c r="W51" s="48"/>
    </row>
    <row r="52" spans="1:23" s="49" customFormat="1" ht="48" hidden="1" x14ac:dyDescent="0.25">
      <c r="A52" s="44" t="s">
        <v>91</v>
      </c>
      <c r="B52" s="50" t="s">
        <v>90</v>
      </c>
      <c r="C52" s="53">
        <v>0</v>
      </c>
      <c r="D52" s="63">
        <f t="shared" si="1"/>
        <v>0</v>
      </c>
      <c r="E52" s="53">
        <v>0</v>
      </c>
      <c r="F52" s="63">
        <f t="shared" si="3"/>
        <v>0</v>
      </c>
      <c r="G52" s="53">
        <v>0</v>
      </c>
      <c r="H52" s="63">
        <f t="shared" si="4"/>
        <v>0</v>
      </c>
      <c r="I52" s="53">
        <v>0</v>
      </c>
      <c r="J52" s="63">
        <f t="shared" si="5"/>
        <v>0</v>
      </c>
      <c r="K52" s="53">
        <v>0</v>
      </c>
      <c r="L52" s="63">
        <f t="shared" si="6"/>
        <v>0</v>
      </c>
      <c r="M52" s="53"/>
      <c r="N52" s="63">
        <f t="shared" si="7"/>
        <v>0</v>
      </c>
      <c r="O52" s="53"/>
      <c r="P52" s="63">
        <f t="shared" si="8"/>
        <v>0</v>
      </c>
      <c r="Q52" s="53">
        <v>0</v>
      </c>
      <c r="R52" s="63">
        <f t="shared" si="9"/>
        <v>0</v>
      </c>
      <c r="S52" s="63">
        <f t="shared" si="10"/>
        <v>0</v>
      </c>
      <c r="T52" s="53">
        <v>0</v>
      </c>
      <c r="V52" s="47"/>
      <c r="W52" s="48"/>
    </row>
    <row r="53" spans="1:23" s="49" customFormat="1" ht="36" customHeight="1" x14ac:dyDescent="0.25">
      <c r="A53" s="44" t="s">
        <v>93</v>
      </c>
      <c r="B53" s="50" t="s">
        <v>92</v>
      </c>
      <c r="C53" s="51">
        <f t="shared" ref="C53:E53" si="23">C54</f>
        <v>34741.699999999997</v>
      </c>
      <c r="D53" s="63">
        <f t="shared" si="1"/>
        <v>0</v>
      </c>
      <c r="E53" s="51">
        <f t="shared" si="23"/>
        <v>34741.699999999997</v>
      </c>
      <c r="F53" s="63">
        <f t="shared" si="3"/>
        <v>0</v>
      </c>
      <c r="G53" s="51">
        <f>G54+G61</f>
        <v>34741.699999999997</v>
      </c>
      <c r="H53" s="63">
        <f t="shared" si="4"/>
        <v>0</v>
      </c>
      <c r="I53" s="51">
        <f t="shared" ref="I53:T53" si="24">I54+I61</f>
        <v>34741.699999999997</v>
      </c>
      <c r="J53" s="63">
        <f t="shared" si="5"/>
        <v>4000</v>
      </c>
      <c r="K53" s="51">
        <f t="shared" si="24"/>
        <v>38741.699999999997</v>
      </c>
      <c r="L53" s="63">
        <f t="shared" si="6"/>
        <v>0</v>
      </c>
      <c r="M53" s="51">
        <f t="shared" si="24"/>
        <v>38741.699999999997</v>
      </c>
      <c r="N53" s="63">
        <f t="shared" si="7"/>
        <v>0</v>
      </c>
      <c r="O53" s="51">
        <f t="shared" si="24"/>
        <v>38741.699999999997</v>
      </c>
      <c r="P53" s="63">
        <f t="shared" si="8"/>
        <v>0</v>
      </c>
      <c r="Q53" s="51">
        <f t="shared" si="24"/>
        <v>38741.699999999997</v>
      </c>
      <c r="R53" s="63">
        <f t="shared" si="9"/>
        <v>-2341.6999999999971</v>
      </c>
      <c r="S53" s="63">
        <f t="shared" si="10"/>
        <v>1658.3000000000029</v>
      </c>
      <c r="T53" s="51">
        <f t="shared" si="24"/>
        <v>36400</v>
      </c>
      <c r="V53" s="47"/>
      <c r="W53" s="48"/>
    </row>
    <row r="54" spans="1:23" s="49" customFormat="1" ht="74.25" customHeight="1" x14ac:dyDescent="0.25">
      <c r="A54" s="44" t="s">
        <v>95</v>
      </c>
      <c r="B54" s="50" t="s">
        <v>94</v>
      </c>
      <c r="C54" s="51">
        <f t="shared" ref="C54:E54" si="25">C56+C60+C63</f>
        <v>34741.699999999997</v>
      </c>
      <c r="D54" s="63">
        <f t="shared" si="1"/>
        <v>0</v>
      </c>
      <c r="E54" s="51">
        <f t="shared" si="25"/>
        <v>34741.699999999997</v>
      </c>
      <c r="F54" s="63">
        <f t="shared" si="3"/>
        <v>-2899.9999999999964</v>
      </c>
      <c r="G54" s="51">
        <f>G55+G57+G59</f>
        <v>31841.7</v>
      </c>
      <c r="H54" s="63">
        <f t="shared" si="4"/>
        <v>0</v>
      </c>
      <c r="I54" s="51">
        <f t="shared" ref="I54:T54" si="26">I55+I57+I59</f>
        <v>31841.7</v>
      </c>
      <c r="J54" s="63">
        <f t="shared" si="5"/>
        <v>0</v>
      </c>
      <c r="K54" s="51">
        <f t="shared" si="26"/>
        <v>31841.7</v>
      </c>
      <c r="L54" s="63">
        <f t="shared" si="6"/>
        <v>0</v>
      </c>
      <c r="M54" s="51">
        <f t="shared" si="26"/>
        <v>31841.7</v>
      </c>
      <c r="N54" s="63">
        <f t="shared" si="7"/>
        <v>0</v>
      </c>
      <c r="O54" s="51">
        <f t="shared" si="26"/>
        <v>31841.7</v>
      </c>
      <c r="P54" s="63">
        <f t="shared" si="8"/>
        <v>0</v>
      </c>
      <c r="Q54" s="51">
        <f t="shared" si="26"/>
        <v>31841.7</v>
      </c>
      <c r="R54" s="63">
        <f t="shared" si="9"/>
        <v>-4641.7000000000007</v>
      </c>
      <c r="S54" s="63">
        <f t="shared" si="10"/>
        <v>-7541.6999999999971</v>
      </c>
      <c r="T54" s="51">
        <f t="shared" si="26"/>
        <v>27200</v>
      </c>
      <c r="V54" s="47"/>
      <c r="W54" s="48"/>
    </row>
    <row r="55" spans="1:23" s="49" customFormat="1" ht="52.5" customHeight="1" x14ac:dyDescent="0.25">
      <c r="A55" s="44" t="s">
        <v>97</v>
      </c>
      <c r="B55" s="50" t="s">
        <v>96</v>
      </c>
      <c r="C55" s="51">
        <f t="shared" ref="C55:T55" si="27">C56</f>
        <v>13574.7</v>
      </c>
      <c r="D55" s="63">
        <f t="shared" si="1"/>
        <v>0</v>
      </c>
      <c r="E55" s="51">
        <f t="shared" si="27"/>
        <v>13574.7</v>
      </c>
      <c r="F55" s="63">
        <f t="shared" si="3"/>
        <v>0</v>
      </c>
      <c r="G55" s="51">
        <f t="shared" si="27"/>
        <v>13574.7</v>
      </c>
      <c r="H55" s="63">
        <f t="shared" si="4"/>
        <v>0</v>
      </c>
      <c r="I55" s="51">
        <f t="shared" si="27"/>
        <v>13574.7</v>
      </c>
      <c r="J55" s="63">
        <f t="shared" si="5"/>
        <v>0</v>
      </c>
      <c r="K55" s="51">
        <f t="shared" si="27"/>
        <v>13574.7</v>
      </c>
      <c r="L55" s="63">
        <f t="shared" si="6"/>
        <v>0</v>
      </c>
      <c r="M55" s="51">
        <f>M56</f>
        <v>13574.7</v>
      </c>
      <c r="N55" s="63">
        <f t="shared" si="7"/>
        <v>0</v>
      </c>
      <c r="O55" s="51">
        <f>O56</f>
        <v>13574.7</v>
      </c>
      <c r="P55" s="63">
        <f t="shared" si="8"/>
        <v>0</v>
      </c>
      <c r="Q55" s="51">
        <f t="shared" si="27"/>
        <v>13574.7</v>
      </c>
      <c r="R55" s="63">
        <f t="shared" si="9"/>
        <v>-574.70000000000073</v>
      </c>
      <c r="S55" s="63">
        <f t="shared" si="10"/>
        <v>-574.70000000000073</v>
      </c>
      <c r="T55" s="51">
        <f t="shared" si="27"/>
        <v>13000</v>
      </c>
      <c r="V55" s="47"/>
      <c r="W55" s="48"/>
    </row>
    <row r="56" spans="1:23" s="49" customFormat="1" ht="57" customHeight="1" x14ac:dyDescent="0.25">
      <c r="A56" s="44" t="s">
        <v>99</v>
      </c>
      <c r="B56" s="50" t="s">
        <v>98</v>
      </c>
      <c r="C56" s="51">
        <v>13574.7</v>
      </c>
      <c r="D56" s="63">
        <f t="shared" si="1"/>
        <v>0</v>
      </c>
      <c r="E56" s="51">
        <f>C56</f>
        <v>13574.7</v>
      </c>
      <c r="F56" s="63">
        <f t="shared" si="3"/>
        <v>0</v>
      </c>
      <c r="G56" s="51">
        <f>E56</f>
        <v>13574.7</v>
      </c>
      <c r="H56" s="63">
        <f t="shared" si="4"/>
        <v>0</v>
      </c>
      <c r="I56" s="51">
        <f>G56</f>
        <v>13574.7</v>
      </c>
      <c r="J56" s="63">
        <f t="shared" si="5"/>
        <v>0</v>
      </c>
      <c r="K56" s="51">
        <f>I56</f>
        <v>13574.7</v>
      </c>
      <c r="L56" s="63">
        <f t="shared" si="6"/>
        <v>0</v>
      </c>
      <c r="M56" s="51">
        <f>K56</f>
        <v>13574.7</v>
      </c>
      <c r="N56" s="63">
        <f t="shared" si="7"/>
        <v>0</v>
      </c>
      <c r="O56" s="51">
        <f>M56</f>
        <v>13574.7</v>
      </c>
      <c r="P56" s="63">
        <f t="shared" si="8"/>
        <v>0</v>
      </c>
      <c r="Q56" s="51">
        <f t="shared" ref="Q56" si="28">O56</f>
        <v>13574.7</v>
      </c>
      <c r="R56" s="63">
        <f t="shared" si="9"/>
        <v>-574.70000000000073</v>
      </c>
      <c r="S56" s="63">
        <f t="shared" si="10"/>
        <v>-574.70000000000073</v>
      </c>
      <c r="T56" s="51">
        <f>Q56-574.7</f>
        <v>13000</v>
      </c>
      <c r="V56" s="47"/>
      <c r="W56" s="48"/>
    </row>
    <row r="57" spans="1:23" s="49" customFormat="1" ht="63" customHeight="1" x14ac:dyDescent="0.25">
      <c r="A57" s="44" t="s">
        <v>100</v>
      </c>
      <c r="B57" s="50" t="s">
        <v>350</v>
      </c>
      <c r="C57" s="51"/>
      <c r="D57" s="63">
        <f t="shared" si="1"/>
        <v>0</v>
      </c>
      <c r="E57" s="51"/>
      <c r="F57" s="63">
        <f t="shared" si="3"/>
        <v>0</v>
      </c>
      <c r="G57" s="51"/>
      <c r="H57" s="63">
        <f t="shared" si="4"/>
        <v>0</v>
      </c>
      <c r="I57" s="51"/>
      <c r="J57" s="63">
        <f t="shared" si="5"/>
        <v>0</v>
      </c>
      <c r="K57" s="51"/>
      <c r="L57" s="63">
        <f t="shared" si="6"/>
        <v>0</v>
      </c>
      <c r="M57" s="51"/>
      <c r="N57" s="63">
        <f t="shared" si="7"/>
        <v>0</v>
      </c>
      <c r="O57" s="51"/>
      <c r="P57" s="63">
        <f t="shared" si="8"/>
        <v>0</v>
      </c>
      <c r="Q57" s="51"/>
      <c r="R57" s="63">
        <f t="shared" si="9"/>
        <v>0</v>
      </c>
      <c r="S57" s="63">
        <f t="shared" si="10"/>
        <v>0</v>
      </c>
      <c r="T57" s="51"/>
      <c r="V57" s="47"/>
      <c r="W57" s="48"/>
    </row>
    <row r="58" spans="1:23" s="49" customFormat="1" ht="61.5" customHeight="1" x14ac:dyDescent="0.25">
      <c r="A58" s="44" t="s">
        <v>351</v>
      </c>
      <c r="B58" s="50" t="s">
        <v>352</v>
      </c>
      <c r="C58" s="51"/>
      <c r="D58" s="63">
        <f t="shared" si="1"/>
        <v>0</v>
      </c>
      <c r="E58" s="51"/>
      <c r="F58" s="63">
        <f t="shared" si="3"/>
        <v>0</v>
      </c>
      <c r="G58" s="51"/>
      <c r="H58" s="63">
        <f t="shared" si="4"/>
        <v>0</v>
      </c>
      <c r="I58" s="51"/>
      <c r="J58" s="63">
        <f t="shared" si="5"/>
        <v>0</v>
      </c>
      <c r="K58" s="51"/>
      <c r="L58" s="63">
        <f t="shared" si="6"/>
        <v>0</v>
      </c>
      <c r="M58" s="51"/>
      <c r="N58" s="63">
        <f t="shared" si="7"/>
        <v>0</v>
      </c>
      <c r="O58" s="51"/>
      <c r="P58" s="63">
        <f t="shared" si="8"/>
        <v>0</v>
      </c>
      <c r="Q58" s="51"/>
      <c r="R58" s="63">
        <f t="shared" si="9"/>
        <v>0</v>
      </c>
      <c r="S58" s="63">
        <f t="shared" si="10"/>
        <v>0</v>
      </c>
      <c r="T58" s="51"/>
      <c r="V58" s="47"/>
      <c r="W58" s="48"/>
    </row>
    <row r="59" spans="1:23" s="49" customFormat="1" ht="37.5" customHeight="1" x14ac:dyDescent="0.25">
      <c r="A59" s="44" t="s">
        <v>102</v>
      </c>
      <c r="B59" s="50" t="s">
        <v>101</v>
      </c>
      <c r="C59" s="51">
        <f t="shared" ref="C59:T59" si="29">C60</f>
        <v>18267</v>
      </c>
      <c r="D59" s="63">
        <f t="shared" si="1"/>
        <v>0</v>
      </c>
      <c r="E59" s="51">
        <f t="shared" si="29"/>
        <v>18267</v>
      </c>
      <c r="F59" s="63">
        <f t="shared" si="3"/>
        <v>0</v>
      </c>
      <c r="G59" s="51">
        <f t="shared" si="29"/>
        <v>18267</v>
      </c>
      <c r="H59" s="63">
        <f t="shared" si="4"/>
        <v>0</v>
      </c>
      <c r="I59" s="51">
        <f t="shared" si="29"/>
        <v>18267</v>
      </c>
      <c r="J59" s="63">
        <f t="shared" si="5"/>
        <v>0</v>
      </c>
      <c r="K59" s="51">
        <f t="shared" si="29"/>
        <v>18267</v>
      </c>
      <c r="L59" s="63">
        <f t="shared" si="6"/>
        <v>0</v>
      </c>
      <c r="M59" s="51">
        <f>M60</f>
        <v>18267</v>
      </c>
      <c r="N59" s="63">
        <f t="shared" si="7"/>
        <v>0</v>
      </c>
      <c r="O59" s="51">
        <f>O60</f>
        <v>18267</v>
      </c>
      <c r="P59" s="63">
        <f t="shared" si="8"/>
        <v>0</v>
      </c>
      <c r="Q59" s="51">
        <f t="shared" si="29"/>
        <v>18267</v>
      </c>
      <c r="R59" s="63">
        <f t="shared" si="9"/>
        <v>-4067</v>
      </c>
      <c r="S59" s="63">
        <f t="shared" si="10"/>
        <v>-4067</v>
      </c>
      <c r="T59" s="51">
        <f t="shared" si="29"/>
        <v>14200</v>
      </c>
      <c r="V59" s="47"/>
      <c r="W59" s="48"/>
    </row>
    <row r="60" spans="1:23" s="49" customFormat="1" ht="29.25" customHeight="1" x14ac:dyDescent="0.25">
      <c r="A60" s="44" t="s">
        <v>104</v>
      </c>
      <c r="B60" s="50" t="s">
        <v>103</v>
      </c>
      <c r="C60" s="51">
        <v>18267</v>
      </c>
      <c r="D60" s="63">
        <f t="shared" si="1"/>
        <v>0</v>
      </c>
      <c r="E60" s="51">
        <f>C60</f>
        <v>18267</v>
      </c>
      <c r="F60" s="63">
        <f t="shared" si="3"/>
        <v>0</v>
      </c>
      <c r="G60" s="51">
        <f>E60</f>
        <v>18267</v>
      </c>
      <c r="H60" s="63">
        <f t="shared" si="4"/>
        <v>0</v>
      </c>
      <c r="I60" s="51">
        <f>G60</f>
        <v>18267</v>
      </c>
      <c r="J60" s="63">
        <f t="shared" si="5"/>
        <v>0</v>
      </c>
      <c r="K60" s="51">
        <f>I60</f>
        <v>18267</v>
      </c>
      <c r="L60" s="63">
        <f t="shared" si="6"/>
        <v>0</v>
      </c>
      <c r="M60" s="51">
        <f>K60</f>
        <v>18267</v>
      </c>
      <c r="N60" s="63">
        <f t="shared" si="7"/>
        <v>0</v>
      </c>
      <c r="O60" s="51">
        <f>M60</f>
        <v>18267</v>
      </c>
      <c r="P60" s="63">
        <f t="shared" si="8"/>
        <v>0</v>
      </c>
      <c r="Q60" s="51">
        <f t="shared" ref="Q60" si="30">O60</f>
        <v>18267</v>
      </c>
      <c r="R60" s="63">
        <f t="shared" si="9"/>
        <v>-4067</v>
      </c>
      <c r="S60" s="63">
        <f t="shared" si="10"/>
        <v>-4067</v>
      </c>
      <c r="T60" s="51">
        <f>Q60-4067</f>
        <v>14200</v>
      </c>
      <c r="V60" s="47"/>
      <c r="W60" s="48"/>
    </row>
    <row r="61" spans="1:23" s="49" customFormat="1" ht="73.5" customHeight="1" x14ac:dyDescent="0.25">
      <c r="A61" s="44" t="s">
        <v>105</v>
      </c>
      <c r="B61" s="50" t="s">
        <v>353</v>
      </c>
      <c r="C61" s="51">
        <f>C62+C64</f>
        <v>2900</v>
      </c>
      <c r="D61" s="63">
        <f t="shared" si="1"/>
        <v>0</v>
      </c>
      <c r="E61" s="51">
        <f t="shared" ref="E61" si="31">E62+E64</f>
        <v>2900</v>
      </c>
      <c r="F61" s="63">
        <f t="shared" si="3"/>
        <v>0</v>
      </c>
      <c r="G61" s="51">
        <f>G62+G64</f>
        <v>2900</v>
      </c>
      <c r="H61" s="63">
        <f t="shared" si="4"/>
        <v>0</v>
      </c>
      <c r="I61" s="51">
        <f t="shared" ref="I61:T61" si="32">I62+I64</f>
        <v>2900</v>
      </c>
      <c r="J61" s="63">
        <f t="shared" si="5"/>
        <v>4000</v>
      </c>
      <c r="K61" s="51">
        <f t="shared" si="32"/>
        <v>6900</v>
      </c>
      <c r="L61" s="63">
        <f t="shared" si="6"/>
        <v>0</v>
      </c>
      <c r="M61" s="51">
        <f t="shared" si="32"/>
        <v>6900</v>
      </c>
      <c r="N61" s="63">
        <f t="shared" si="7"/>
        <v>0</v>
      </c>
      <c r="O61" s="51">
        <f t="shared" si="32"/>
        <v>6900</v>
      </c>
      <c r="P61" s="63">
        <f t="shared" si="8"/>
        <v>0</v>
      </c>
      <c r="Q61" s="51">
        <f t="shared" si="32"/>
        <v>6900</v>
      </c>
      <c r="R61" s="63">
        <f t="shared" si="9"/>
        <v>2300</v>
      </c>
      <c r="S61" s="63">
        <f t="shared" si="10"/>
        <v>6300</v>
      </c>
      <c r="T61" s="51">
        <f t="shared" si="32"/>
        <v>9200</v>
      </c>
      <c r="V61" s="47"/>
      <c r="W61" s="48"/>
    </row>
    <row r="62" spans="1:23" s="49" customFormat="1" ht="74.25" customHeight="1" x14ac:dyDescent="0.25">
      <c r="A62" s="44" t="s">
        <v>106</v>
      </c>
      <c r="B62" s="50" t="s">
        <v>354</v>
      </c>
      <c r="C62" s="51">
        <f t="shared" ref="C62:T62" si="33">C63</f>
        <v>2900</v>
      </c>
      <c r="D62" s="63">
        <f t="shared" si="1"/>
        <v>0</v>
      </c>
      <c r="E62" s="51">
        <f t="shared" si="33"/>
        <v>2900</v>
      </c>
      <c r="F62" s="63">
        <f t="shared" si="3"/>
        <v>0</v>
      </c>
      <c r="G62" s="51">
        <f t="shared" si="33"/>
        <v>2900</v>
      </c>
      <c r="H62" s="63">
        <f t="shared" si="4"/>
        <v>0</v>
      </c>
      <c r="I62" s="51">
        <f t="shared" si="33"/>
        <v>2900</v>
      </c>
      <c r="J62" s="63">
        <f t="shared" si="5"/>
        <v>0</v>
      </c>
      <c r="K62" s="51">
        <f t="shared" si="33"/>
        <v>2900</v>
      </c>
      <c r="L62" s="63">
        <f t="shared" si="6"/>
        <v>0</v>
      </c>
      <c r="M62" s="51">
        <f>M63</f>
        <v>2900</v>
      </c>
      <c r="N62" s="63">
        <f t="shared" si="7"/>
        <v>0</v>
      </c>
      <c r="O62" s="51">
        <f>O63</f>
        <v>2900</v>
      </c>
      <c r="P62" s="63">
        <f t="shared" si="8"/>
        <v>0</v>
      </c>
      <c r="Q62" s="51">
        <f t="shared" si="33"/>
        <v>2900</v>
      </c>
      <c r="R62" s="63">
        <f t="shared" si="9"/>
        <v>0</v>
      </c>
      <c r="S62" s="63">
        <f t="shared" si="10"/>
        <v>0</v>
      </c>
      <c r="T62" s="51">
        <f t="shared" si="33"/>
        <v>2900</v>
      </c>
      <c r="V62" s="47"/>
      <c r="W62" s="48"/>
    </row>
    <row r="63" spans="1:23" s="49" customFormat="1" ht="63.75" customHeight="1" x14ac:dyDescent="0.25">
      <c r="A63" s="44" t="s">
        <v>107</v>
      </c>
      <c r="B63" s="50" t="s">
        <v>355</v>
      </c>
      <c r="C63" s="51">
        <v>2900</v>
      </c>
      <c r="D63" s="63">
        <f t="shared" si="1"/>
        <v>0</v>
      </c>
      <c r="E63" s="51">
        <f>C63</f>
        <v>2900</v>
      </c>
      <c r="F63" s="63">
        <f t="shared" si="3"/>
        <v>0</v>
      </c>
      <c r="G63" s="51">
        <f>E63</f>
        <v>2900</v>
      </c>
      <c r="H63" s="63">
        <f t="shared" si="4"/>
        <v>0</v>
      </c>
      <c r="I63" s="51">
        <f>G63</f>
        <v>2900</v>
      </c>
      <c r="J63" s="63">
        <f t="shared" si="5"/>
        <v>0</v>
      </c>
      <c r="K63" s="51">
        <f>I63</f>
        <v>2900</v>
      </c>
      <c r="L63" s="63">
        <f t="shared" si="6"/>
        <v>0</v>
      </c>
      <c r="M63" s="51">
        <f>K63</f>
        <v>2900</v>
      </c>
      <c r="N63" s="63">
        <f t="shared" si="7"/>
        <v>0</v>
      </c>
      <c r="O63" s="51">
        <f>M63</f>
        <v>2900</v>
      </c>
      <c r="P63" s="63">
        <f t="shared" si="8"/>
        <v>0</v>
      </c>
      <c r="Q63" s="51">
        <f>O63</f>
        <v>2900</v>
      </c>
      <c r="R63" s="63">
        <f t="shared" si="9"/>
        <v>0</v>
      </c>
      <c r="S63" s="63">
        <f t="shared" si="10"/>
        <v>0</v>
      </c>
      <c r="T63" s="51">
        <f t="shared" ref="T63" si="34">Q63</f>
        <v>2900</v>
      </c>
      <c r="V63" s="47"/>
      <c r="W63" s="48"/>
    </row>
    <row r="64" spans="1:23" s="49" customFormat="1" ht="84" customHeight="1" x14ac:dyDescent="0.25">
      <c r="A64" s="44" t="s">
        <v>356</v>
      </c>
      <c r="B64" s="50" t="s">
        <v>357</v>
      </c>
      <c r="C64" s="51"/>
      <c r="D64" s="63">
        <f t="shared" si="1"/>
        <v>0</v>
      </c>
      <c r="E64" s="51"/>
      <c r="F64" s="63">
        <f t="shared" si="3"/>
        <v>0</v>
      </c>
      <c r="G64" s="51"/>
      <c r="H64" s="63">
        <f t="shared" si="4"/>
        <v>0</v>
      </c>
      <c r="I64" s="51">
        <f>I65</f>
        <v>0</v>
      </c>
      <c r="J64" s="63">
        <f t="shared" si="5"/>
        <v>4000</v>
      </c>
      <c r="K64" s="51">
        <f t="shared" ref="K64:T64" si="35">K65</f>
        <v>4000</v>
      </c>
      <c r="L64" s="63">
        <f t="shared" si="6"/>
        <v>0</v>
      </c>
      <c r="M64" s="51">
        <f>M65</f>
        <v>4000</v>
      </c>
      <c r="N64" s="63">
        <f t="shared" si="7"/>
        <v>0</v>
      </c>
      <c r="O64" s="51">
        <f>O65</f>
        <v>4000</v>
      </c>
      <c r="P64" s="63">
        <f t="shared" si="8"/>
        <v>0</v>
      </c>
      <c r="Q64" s="51">
        <f t="shared" si="35"/>
        <v>4000</v>
      </c>
      <c r="R64" s="63">
        <f t="shared" si="9"/>
        <v>2300</v>
      </c>
      <c r="S64" s="63">
        <f t="shared" si="10"/>
        <v>6300</v>
      </c>
      <c r="T64" s="51">
        <f t="shared" si="35"/>
        <v>6300</v>
      </c>
      <c r="V64" s="47"/>
      <c r="W64" s="48"/>
    </row>
    <row r="65" spans="1:23" s="49" customFormat="1" ht="86.25" customHeight="1" x14ac:dyDescent="0.25">
      <c r="A65" s="44" t="s">
        <v>356</v>
      </c>
      <c r="B65" s="50" t="s">
        <v>358</v>
      </c>
      <c r="C65" s="51"/>
      <c r="D65" s="63">
        <f t="shared" si="1"/>
        <v>0</v>
      </c>
      <c r="E65" s="51"/>
      <c r="F65" s="63">
        <f t="shared" si="3"/>
        <v>0</v>
      </c>
      <c r="G65" s="51"/>
      <c r="H65" s="63">
        <f t="shared" si="4"/>
        <v>0</v>
      </c>
      <c r="I65" s="51"/>
      <c r="J65" s="63">
        <f t="shared" si="5"/>
        <v>4000</v>
      </c>
      <c r="K65" s="51">
        <v>4000</v>
      </c>
      <c r="L65" s="63">
        <f t="shared" si="6"/>
        <v>0</v>
      </c>
      <c r="M65" s="51">
        <f>K65</f>
        <v>4000</v>
      </c>
      <c r="N65" s="63">
        <f t="shared" si="7"/>
        <v>0</v>
      </c>
      <c r="O65" s="51">
        <f>M65</f>
        <v>4000</v>
      </c>
      <c r="P65" s="63">
        <f t="shared" si="8"/>
        <v>0</v>
      </c>
      <c r="Q65" s="51">
        <f>O65</f>
        <v>4000</v>
      </c>
      <c r="R65" s="63">
        <f t="shared" si="9"/>
        <v>2300</v>
      </c>
      <c r="S65" s="63">
        <f t="shared" si="10"/>
        <v>6300</v>
      </c>
      <c r="T65" s="51">
        <f>Q65+2300</f>
        <v>6300</v>
      </c>
      <c r="V65" s="47"/>
      <c r="W65" s="48"/>
    </row>
    <row r="66" spans="1:23" s="49" customFormat="1" ht="24.75" customHeight="1" x14ac:dyDescent="0.25">
      <c r="A66" s="44" t="s">
        <v>109</v>
      </c>
      <c r="B66" s="50" t="s">
        <v>108</v>
      </c>
      <c r="C66" s="51">
        <f t="shared" ref="C66:T66" si="36">C67</f>
        <v>1085</v>
      </c>
      <c r="D66" s="63">
        <f t="shared" si="1"/>
        <v>0</v>
      </c>
      <c r="E66" s="51">
        <f t="shared" si="36"/>
        <v>1085</v>
      </c>
      <c r="F66" s="63">
        <f t="shared" si="3"/>
        <v>0</v>
      </c>
      <c r="G66" s="51">
        <f t="shared" si="36"/>
        <v>1085</v>
      </c>
      <c r="H66" s="63">
        <f t="shared" si="4"/>
        <v>0</v>
      </c>
      <c r="I66" s="51">
        <f t="shared" si="36"/>
        <v>1085</v>
      </c>
      <c r="J66" s="63">
        <f t="shared" si="5"/>
        <v>0</v>
      </c>
      <c r="K66" s="51">
        <f t="shared" si="36"/>
        <v>1085</v>
      </c>
      <c r="L66" s="63">
        <f t="shared" si="6"/>
        <v>0</v>
      </c>
      <c r="M66" s="51">
        <f>M67</f>
        <v>1085</v>
      </c>
      <c r="N66" s="63">
        <f t="shared" si="7"/>
        <v>0</v>
      </c>
      <c r="O66" s="51">
        <f>O67</f>
        <v>1085</v>
      </c>
      <c r="P66" s="63">
        <f t="shared" si="8"/>
        <v>0</v>
      </c>
      <c r="Q66" s="51">
        <f t="shared" si="36"/>
        <v>1085</v>
      </c>
      <c r="R66" s="63">
        <f t="shared" si="9"/>
        <v>215</v>
      </c>
      <c r="S66" s="63">
        <f t="shared" si="10"/>
        <v>215</v>
      </c>
      <c r="T66" s="51">
        <f t="shared" si="36"/>
        <v>1300</v>
      </c>
      <c r="V66" s="47"/>
      <c r="W66" s="48"/>
    </row>
    <row r="67" spans="1:23" s="49" customFormat="1" ht="21.75" customHeight="1" x14ac:dyDescent="0.25">
      <c r="A67" s="44" t="s">
        <v>111</v>
      </c>
      <c r="B67" s="50" t="s">
        <v>110</v>
      </c>
      <c r="C67" s="51">
        <f>C68+C69+C70</f>
        <v>1085</v>
      </c>
      <c r="D67" s="63">
        <f t="shared" si="1"/>
        <v>0</v>
      </c>
      <c r="E67" s="51">
        <f t="shared" ref="E67:T67" si="37">E68+E69+E70</f>
        <v>1085</v>
      </c>
      <c r="F67" s="63">
        <f t="shared" si="3"/>
        <v>0</v>
      </c>
      <c r="G67" s="51">
        <f t="shared" si="37"/>
        <v>1085</v>
      </c>
      <c r="H67" s="63">
        <f t="shared" si="4"/>
        <v>0</v>
      </c>
      <c r="I67" s="51">
        <f t="shared" si="37"/>
        <v>1085</v>
      </c>
      <c r="J67" s="63">
        <f t="shared" si="5"/>
        <v>0</v>
      </c>
      <c r="K67" s="51">
        <f t="shared" si="37"/>
        <v>1085</v>
      </c>
      <c r="L67" s="63">
        <f t="shared" si="6"/>
        <v>0</v>
      </c>
      <c r="M67" s="51">
        <f>M68+M69+M70</f>
        <v>1085</v>
      </c>
      <c r="N67" s="63">
        <f t="shared" si="7"/>
        <v>0</v>
      </c>
      <c r="O67" s="51">
        <f>O68+O69+O70</f>
        <v>1085</v>
      </c>
      <c r="P67" s="63">
        <f t="shared" si="8"/>
        <v>0</v>
      </c>
      <c r="Q67" s="51">
        <f t="shared" si="37"/>
        <v>1085</v>
      </c>
      <c r="R67" s="63">
        <f t="shared" si="9"/>
        <v>215</v>
      </c>
      <c r="S67" s="63">
        <f t="shared" si="10"/>
        <v>215</v>
      </c>
      <c r="T67" s="51">
        <f t="shared" si="37"/>
        <v>1300</v>
      </c>
      <c r="V67" s="47"/>
      <c r="W67" s="48"/>
    </row>
    <row r="68" spans="1:23" s="49" customFormat="1" ht="27" customHeight="1" x14ac:dyDescent="0.25">
      <c r="A68" s="44" t="s">
        <v>113</v>
      </c>
      <c r="B68" s="50" t="s">
        <v>112</v>
      </c>
      <c r="C68" s="51">
        <v>90</v>
      </c>
      <c r="D68" s="63">
        <f t="shared" si="1"/>
        <v>0</v>
      </c>
      <c r="E68" s="51">
        <f>C68</f>
        <v>90</v>
      </c>
      <c r="F68" s="63">
        <f t="shared" si="3"/>
        <v>0</v>
      </c>
      <c r="G68" s="51">
        <f>E68</f>
        <v>90</v>
      </c>
      <c r="H68" s="63">
        <f t="shared" si="4"/>
        <v>0</v>
      </c>
      <c r="I68" s="51">
        <f>G68</f>
        <v>90</v>
      </c>
      <c r="J68" s="63">
        <f t="shared" si="5"/>
        <v>0</v>
      </c>
      <c r="K68" s="51">
        <f>I68</f>
        <v>90</v>
      </c>
      <c r="L68" s="63">
        <f t="shared" si="6"/>
        <v>0</v>
      </c>
      <c r="M68" s="51">
        <f>K68</f>
        <v>90</v>
      </c>
      <c r="N68" s="63">
        <f t="shared" si="7"/>
        <v>0</v>
      </c>
      <c r="O68" s="51">
        <f>M68</f>
        <v>90</v>
      </c>
      <c r="P68" s="63">
        <f t="shared" si="8"/>
        <v>0</v>
      </c>
      <c r="Q68" s="51">
        <f t="shared" ref="Q68:Q72" si="38">O68</f>
        <v>90</v>
      </c>
      <c r="R68" s="63">
        <f t="shared" si="9"/>
        <v>57</v>
      </c>
      <c r="S68" s="63">
        <f t="shared" si="10"/>
        <v>57</v>
      </c>
      <c r="T68" s="51">
        <f>Q68+57</f>
        <v>147</v>
      </c>
      <c r="V68" s="47"/>
      <c r="W68" s="48"/>
    </row>
    <row r="69" spans="1:23" s="49" customFormat="1" ht="27.75" customHeight="1" x14ac:dyDescent="0.25">
      <c r="A69" s="44" t="s">
        <v>115</v>
      </c>
      <c r="B69" s="50" t="s">
        <v>114</v>
      </c>
      <c r="C69" s="51">
        <v>40</v>
      </c>
      <c r="D69" s="63">
        <f t="shared" ref="D69:D132" si="39">E69-C69</f>
        <v>0</v>
      </c>
      <c r="E69" s="51">
        <f>C69</f>
        <v>40</v>
      </c>
      <c r="F69" s="63">
        <f t="shared" ref="F69:F132" si="40">G69-E69</f>
        <v>0</v>
      </c>
      <c r="G69" s="51">
        <f>E69</f>
        <v>40</v>
      </c>
      <c r="H69" s="63">
        <f t="shared" ref="H69:H132" si="41">I69-G69</f>
        <v>0</v>
      </c>
      <c r="I69" s="51">
        <f>G69</f>
        <v>40</v>
      </c>
      <c r="J69" s="63">
        <f t="shared" ref="J69:J132" si="42">K69-I69</f>
        <v>0</v>
      </c>
      <c r="K69" s="51">
        <f>I69</f>
        <v>40</v>
      </c>
      <c r="L69" s="63">
        <f t="shared" ref="L69:L132" si="43">M69-K69</f>
        <v>0</v>
      </c>
      <c r="M69" s="51">
        <f>K69</f>
        <v>40</v>
      </c>
      <c r="N69" s="63">
        <f t="shared" ref="N69:N132" si="44">O69-M69</f>
        <v>0</v>
      </c>
      <c r="O69" s="51">
        <f>M69</f>
        <v>40</v>
      </c>
      <c r="P69" s="63">
        <f t="shared" ref="P69:P132" si="45">Q69-O69</f>
        <v>0</v>
      </c>
      <c r="Q69" s="51">
        <f t="shared" si="38"/>
        <v>40</v>
      </c>
      <c r="R69" s="63">
        <f t="shared" ref="R69:R132" si="46">T69-Q69</f>
        <v>19</v>
      </c>
      <c r="S69" s="63">
        <f t="shared" ref="S69:S132" si="47">D69+F69+H69+J69+L69+N69+P69+R69</f>
        <v>19</v>
      </c>
      <c r="T69" s="51">
        <f>Q69+19</f>
        <v>59</v>
      </c>
      <c r="V69" s="47"/>
      <c r="W69" s="48"/>
    </row>
    <row r="70" spans="1:23" s="49" customFormat="1" ht="24.75" customHeight="1" x14ac:dyDescent="0.25">
      <c r="A70" s="44" t="s">
        <v>117</v>
      </c>
      <c r="B70" s="50" t="s">
        <v>116</v>
      </c>
      <c r="C70" s="51">
        <f>C71+C72</f>
        <v>955</v>
      </c>
      <c r="D70" s="63">
        <f t="shared" si="39"/>
        <v>0</v>
      </c>
      <c r="E70" s="51">
        <f>C70</f>
        <v>955</v>
      </c>
      <c r="F70" s="63">
        <f t="shared" si="40"/>
        <v>0</v>
      </c>
      <c r="G70" s="51">
        <f t="shared" ref="G70:K70" si="48">G71+G72</f>
        <v>955</v>
      </c>
      <c r="H70" s="63">
        <f t="shared" si="41"/>
        <v>0</v>
      </c>
      <c r="I70" s="51">
        <f t="shared" si="48"/>
        <v>955</v>
      </c>
      <c r="J70" s="63">
        <f t="shared" si="42"/>
        <v>0</v>
      </c>
      <c r="K70" s="51">
        <f t="shared" si="48"/>
        <v>955</v>
      </c>
      <c r="L70" s="63">
        <f t="shared" si="43"/>
        <v>0</v>
      </c>
      <c r="M70" s="51">
        <f>M71+M72</f>
        <v>955</v>
      </c>
      <c r="N70" s="63">
        <f t="shared" si="44"/>
        <v>0</v>
      </c>
      <c r="O70" s="51">
        <f>O71+O72</f>
        <v>955</v>
      </c>
      <c r="P70" s="63">
        <f t="shared" si="45"/>
        <v>0</v>
      </c>
      <c r="Q70" s="51">
        <f>Q71+Q72</f>
        <v>955</v>
      </c>
      <c r="R70" s="63">
        <f t="shared" si="46"/>
        <v>139</v>
      </c>
      <c r="S70" s="63">
        <f t="shared" si="47"/>
        <v>139</v>
      </c>
      <c r="T70" s="51">
        <f>T71+T72</f>
        <v>1094</v>
      </c>
      <c r="V70" s="47"/>
      <c r="W70" s="48"/>
    </row>
    <row r="71" spans="1:23" s="49" customFormat="1" ht="17.25" customHeight="1" x14ac:dyDescent="0.25">
      <c r="A71" s="44" t="s">
        <v>119</v>
      </c>
      <c r="B71" s="50" t="s">
        <v>118</v>
      </c>
      <c r="C71" s="51">
        <v>953</v>
      </c>
      <c r="D71" s="63">
        <f t="shared" si="39"/>
        <v>0</v>
      </c>
      <c r="E71" s="51">
        <f>C71</f>
        <v>953</v>
      </c>
      <c r="F71" s="63">
        <f t="shared" si="40"/>
        <v>0</v>
      </c>
      <c r="G71" s="51">
        <f>E71</f>
        <v>953</v>
      </c>
      <c r="H71" s="63">
        <f t="shared" si="41"/>
        <v>0</v>
      </c>
      <c r="I71" s="51">
        <f>G71</f>
        <v>953</v>
      </c>
      <c r="J71" s="63">
        <f t="shared" si="42"/>
        <v>0</v>
      </c>
      <c r="K71" s="51">
        <f>I71</f>
        <v>953</v>
      </c>
      <c r="L71" s="63">
        <f t="shared" si="43"/>
        <v>0</v>
      </c>
      <c r="M71" s="51">
        <f>K71</f>
        <v>953</v>
      </c>
      <c r="N71" s="63">
        <f t="shared" si="44"/>
        <v>0</v>
      </c>
      <c r="O71" s="51">
        <f>M71</f>
        <v>953</v>
      </c>
      <c r="P71" s="63">
        <f t="shared" si="45"/>
        <v>0</v>
      </c>
      <c r="Q71" s="51">
        <f t="shared" si="38"/>
        <v>953</v>
      </c>
      <c r="R71" s="63">
        <f t="shared" si="46"/>
        <v>130</v>
      </c>
      <c r="S71" s="63">
        <f t="shared" si="47"/>
        <v>130</v>
      </c>
      <c r="T71" s="51">
        <f>Q71+130</f>
        <v>1083</v>
      </c>
      <c r="V71" s="47"/>
      <c r="W71" s="48"/>
    </row>
    <row r="72" spans="1:23" s="49" customFormat="1" ht="24" customHeight="1" x14ac:dyDescent="0.25">
      <c r="A72" s="44" t="s">
        <v>121</v>
      </c>
      <c r="B72" s="50" t="s">
        <v>120</v>
      </c>
      <c r="C72" s="51">
        <v>2</v>
      </c>
      <c r="D72" s="63">
        <f t="shared" si="39"/>
        <v>0</v>
      </c>
      <c r="E72" s="51">
        <f>C72</f>
        <v>2</v>
      </c>
      <c r="F72" s="63">
        <f t="shared" si="40"/>
        <v>0</v>
      </c>
      <c r="G72" s="51">
        <f>E72</f>
        <v>2</v>
      </c>
      <c r="H72" s="63">
        <f t="shared" si="41"/>
        <v>0</v>
      </c>
      <c r="I72" s="51">
        <f>G72</f>
        <v>2</v>
      </c>
      <c r="J72" s="63">
        <f t="shared" si="42"/>
        <v>0</v>
      </c>
      <c r="K72" s="51">
        <f>I72</f>
        <v>2</v>
      </c>
      <c r="L72" s="63">
        <f t="shared" si="43"/>
        <v>0</v>
      </c>
      <c r="M72" s="51">
        <f>K72</f>
        <v>2</v>
      </c>
      <c r="N72" s="63">
        <f t="shared" si="44"/>
        <v>0</v>
      </c>
      <c r="O72" s="51">
        <f>M72</f>
        <v>2</v>
      </c>
      <c r="P72" s="63">
        <f t="shared" si="45"/>
        <v>0</v>
      </c>
      <c r="Q72" s="51">
        <f t="shared" si="38"/>
        <v>2</v>
      </c>
      <c r="R72" s="63">
        <f t="shared" si="46"/>
        <v>9</v>
      </c>
      <c r="S72" s="63">
        <f t="shared" si="47"/>
        <v>9</v>
      </c>
      <c r="T72" s="51">
        <f>Q72+9</f>
        <v>11</v>
      </c>
      <c r="V72" s="47"/>
      <c r="W72" s="48"/>
    </row>
    <row r="73" spans="1:23" s="49" customFormat="1" ht="30" customHeight="1" x14ac:dyDescent="0.25">
      <c r="A73" s="44" t="s">
        <v>123</v>
      </c>
      <c r="B73" s="50" t="s">
        <v>122</v>
      </c>
      <c r="C73" s="51">
        <v>0</v>
      </c>
      <c r="D73" s="63">
        <f t="shared" si="39"/>
        <v>0</v>
      </c>
      <c r="E73" s="51">
        <v>0</v>
      </c>
      <c r="F73" s="63">
        <f t="shared" si="40"/>
        <v>0</v>
      </c>
      <c r="G73" s="51">
        <f>G78</f>
        <v>0</v>
      </c>
      <c r="H73" s="63">
        <f t="shared" si="41"/>
        <v>0</v>
      </c>
      <c r="I73" s="51">
        <f>I78</f>
        <v>0</v>
      </c>
      <c r="J73" s="63">
        <f t="shared" si="42"/>
        <v>0</v>
      </c>
      <c r="K73" s="51">
        <f>K78</f>
        <v>0</v>
      </c>
      <c r="L73" s="63">
        <f t="shared" si="43"/>
        <v>0</v>
      </c>
      <c r="M73" s="51">
        <f>K73</f>
        <v>0</v>
      </c>
      <c r="N73" s="63">
        <f t="shared" si="44"/>
        <v>0</v>
      </c>
      <c r="O73" s="51">
        <f>M73</f>
        <v>0</v>
      </c>
      <c r="P73" s="63">
        <f t="shared" si="45"/>
        <v>0</v>
      </c>
      <c r="Q73" s="51">
        <f>Q78</f>
        <v>0</v>
      </c>
      <c r="R73" s="63">
        <f t="shared" si="46"/>
        <v>200</v>
      </c>
      <c r="S73" s="63">
        <f t="shared" si="47"/>
        <v>200</v>
      </c>
      <c r="T73" s="51">
        <f>T76</f>
        <v>200</v>
      </c>
      <c r="V73" s="47"/>
      <c r="W73" s="48"/>
    </row>
    <row r="74" spans="1:23" s="49" customFormat="1" ht="20.25" customHeight="1" x14ac:dyDescent="0.25">
      <c r="A74" s="44" t="s">
        <v>124</v>
      </c>
      <c r="B74" s="50" t="s">
        <v>359</v>
      </c>
      <c r="C74" s="51"/>
      <c r="D74" s="63">
        <f t="shared" si="39"/>
        <v>0</v>
      </c>
      <c r="E74" s="51"/>
      <c r="F74" s="63">
        <f t="shared" si="40"/>
        <v>0</v>
      </c>
      <c r="G74" s="51"/>
      <c r="H74" s="63">
        <f t="shared" si="41"/>
        <v>0</v>
      </c>
      <c r="I74" s="51"/>
      <c r="J74" s="63">
        <f t="shared" si="42"/>
        <v>0</v>
      </c>
      <c r="K74" s="51"/>
      <c r="L74" s="63">
        <f t="shared" si="43"/>
        <v>0</v>
      </c>
      <c r="M74" s="51"/>
      <c r="N74" s="63">
        <f t="shared" si="44"/>
        <v>0</v>
      </c>
      <c r="O74" s="51"/>
      <c r="P74" s="63">
        <f t="shared" si="45"/>
        <v>0</v>
      </c>
      <c r="Q74" s="51"/>
      <c r="R74" s="63">
        <f t="shared" si="46"/>
        <v>0</v>
      </c>
      <c r="S74" s="63">
        <f t="shared" si="47"/>
        <v>0</v>
      </c>
      <c r="T74" s="51"/>
      <c r="V74" s="47"/>
      <c r="W74" s="48"/>
    </row>
    <row r="75" spans="1:23" s="49" customFormat="1" ht="40.5" customHeight="1" x14ac:dyDescent="0.25">
      <c r="A75" s="44" t="s">
        <v>125</v>
      </c>
      <c r="B75" s="50" t="s">
        <v>360</v>
      </c>
      <c r="C75" s="51"/>
      <c r="D75" s="63">
        <f t="shared" si="39"/>
        <v>0</v>
      </c>
      <c r="E75" s="51"/>
      <c r="F75" s="63">
        <f t="shared" si="40"/>
        <v>0</v>
      </c>
      <c r="G75" s="51"/>
      <c r="H75" s="63">
        <f t="shared" si="41"/>
        <v>0</v>
      </c>
      <c r="I75" s="51"/>
      <c r="J75" s="63">
        <f t="shared" si="42"/>
        <v>0</v>
      </c>
      <c r="K75" s="51"/>
      <c r="L75" s="63">
        <f t="shared" si="43"/>
        <v>0</v>
      </c>
      <c r="M75" s="51"/>
      <c r="N75" s="63">
        <f t="shared" si="44"/>
        <v>0</v>
      </c>
      <c r="O75" s="51"/>
      <c r="P75" s="63">
        <f t="shared" si="45"/>
        <v>0</v>
      </c>
      <c r="Q75" s="51"/>
      <c r="R75" s="63">
        <f t="shared" si="46"/>
        <v>0</v>
      </c>
      <c r="S75" s="63">
        <f t="shared" si="47"/>
        <v>0</v>
      </c>
      <c r="T75" s="51"/>
      <c r="V75" s="47"/>
      <c r="W75" s="48"/>
    </row>
    <row r="76" spans="1:23" s="49" customFormat="1" ht="15.75" x14ac:dyDescent="0.25">
      <c r="A76" s="44" t="s">
        <v>127</v>
      </c>
      <c r="B76" s="50" t="s">
        <v>126</v>
      </c>
      <c r="C76" s="53">
        <v>0</v>
      </c>
      <c r="D76" s="63">
        <f t="shared" si="39"/>
        <v>0</v>
      </c>
      <c r="E76" s="53">
        <v>0</v>
      </c>
      <c r="F76" s="63">
        <f t="shared" si="40"/>
        <v>0</v>
      </c>
      <c r="G76" s="53">
        <f>G78</f>
        <v>0</v>
      </c>
      <c r="H76" s="63">
        <f t="shared" si="41"/>
        <v>0</v>
      </c>
      <c r="I76" s="53">
        <f>I78</f>
        <v>0</v>
      </c>
      <c r="J76" s="63">
        <f t="shared" si="42"/>
        <v>0</v>
      </c>
      <c r="K76" s="53">
        <f>K78</f>
        <v>0</v>
      </c>
      <c r="L76" s="63">
        <f t="shared" si="43"/>
        <v>0</v>
      </c>
      <c r="M76" s="53">
        <f>M77</f>
        <v>0</v>
      </c>
      <c r="N76" s="63">
        <f t="shared" si="44"/>
        <v>0</v>
      </c>
      <c r="O76" s="53">
        <f>M76</f>
        <v>0</v>
      </c>
      <c r="P76" s="63">
        <f t="shared" si="45"/>
        <v>0</v>
      </c>
      <c r="Q76" s="53">
        <f>Q78</f>
        <v>0</v>
      </c>
      <c r="R76" s="63">
        <f t="shared" si="46"/>
        <v>200</v>
      </c>
      <c r="S76" s="63">
        <f t="shared" si="47"/>
        <v>200</v>
      </c>
      <c r="T76" s="53">
        <f t="shared" ref="T76:T77" si="49">T77</f>
        <v>200</v>
      </c>
      <c r="V76" s="47"/>
      <c r="W76" s="48"/>
    </row>
    <row r="77" spans="1:23" s="49" customFormat="1" ht="24.75" customHeight="1" x14ac:dyDescent="0.25">
      <c r="A77" s="44" t="s">
        <v>129</v>
      </c>
      <c r="B77" s="50" t="s">
        <v>128</v>
      </c>
      <c r="C77" s="53">
        <v>0</v>
      </c>
      <c r="D77" s="63">
        <f t="shared" si="39"/>
        <v>0</v>
      </c>
      <c r="E77" s="53">
        <v>0</v>
      </c>
      <c r="F77" s="63">
        <f t="shared" si="40"/>
        <v>0</v>
      </c>
      <c r="G77" s="53">
        <f>G78</f>
        <v>0</v>
      </c>
      <c r="H77" s="63">
        <f t="shared" si="41"/>
        <v>0</v>
      </c>
      <c r="I77" s="53">
        <f>I78</f>
        <v>0</v>
      </c>
      <c r="J77" s="63">
        <f t="shared" si="42"/>
        <v>0</v>
      </c>
      <c r="K77" s="53">
        <f>K78</f>
        <v>0</v>
      </c>
      <c r="L77" s="63">
        <f t="shared" si="43"/>
        <v>0</v>
      </c>
      <c r="M77" s="53">
        <f>M78</f>
        <v>0</v>
      </c>
      <c r="N77" s="63">
        <f t="shared" si="44"/>
        <v>0</v>
      </c>
      <c r="O77" s="53">
        <f>M77</f>
        <v>0</v>
      </c>
      <c r="P77" s="63">
        <f t="shared" si="45"/>
        <v>0</v>
      </c>
      <c r="Q77" s="53">
        <f>Q78</f>
        <v>0</v>
      </c>
      <c r="R77" s="63">
        <f t="shared" si="46"/>
        <v>200</v>
      </c>
      <c r="S77" s="63">
        <f t="shared" si="47"/>
        <v>200</v>
      </c>
      <c r="T77" s="53">
        <f t="shared" si="49"/>
        <v>200</v>
      </c>
      <c r="V77" s="47"/>
      <c r="W77" s="48"/>
    </row>
    <row r="78" spans="1:23" s="49" customFormat="1" ht="30.75" customHeight="1" x14ac:dyDescent="0.25">
      <c r="A78" s="44" t="s">
        <v>131</v>
      </c>
      <c r="B78" s="50" t="s">
        <v>130</v>
      </c>
      <c r="C78" s="53">
        <v>0</v>
      </c>
      <c r="D78" s="63">
        <f t="shared" si="39"/>
        <v>0</v>
      </c>
      <c r="E78" s="53">
        <v>0</v>
      </c>
      <c r="F78" s="63">
        <f t="shared" si="40"/>
        <v>0</v>
      </c>
      <c r="G78" s="53">
        <f>E78</f>
        <v>0</v>
      </c>
      <c r="H78" s="63">
        <f t="shared" si="41"/>
        <v>0</v>
      </c>
      <c r="I78" s="53">
        <v>0</v>
      </c>
      <c r="J78" s="63">
        <f t="shared" si="42"/>
        <v>0</v>
      </c>
      <c r="K78" s="53">
        <v>0</v>
      </c>
      <c r="L78" s="63">
        <f t="shared" si="43"/>
        <v>0</v>
      </c>
      <c r="M78" s="53">
        <f>K78</f>
        <v>0</v>
      </c>
      <c r="N78" s="63">
        <f t="shared" si="44"/>
        <v>0</v>
      </c>
      <c r="O78" s="53">
        <f>M78</f>
        <v>0</v>
      </c>
      <c r="P78" s="63">
        <f t="shared" si="45"/>
        <v>0</v>
      </c>
      <c r="Q78" s="53">
        <v>0</v>
      </c>
      <c r="R78" s="63">
        <f t="shared" si="46"/>
        <v>200</v>
      </c>
      <c r="S78" s="63">
        <f t="shared" si="47"/>
        <v>200</v>
      </c>
      <c r="T78" s="53">
        <v>200</v>
      </c>
      <c r="V78" s="47"/>
      <c r="W78" s="48"/>
    </row>
    <row r="79" spans="1:23" s="49" customFormat="1" ht="24" x14ac:dyDescent="0.25">
      <c r="A79" s="44" t="s">
        <v>133</v>
      </c>
      <c r="B79" s="50" t="s">
        <v>132</v>
      </c>
      <c r="C79" s="51">
        <f t="shared" ref="C79:T79" si="50">C80+C83</f>
        <v>7500</v>
      </c>
      <c r="D79" s="63">
        <f t="shared" si="39"/>
        <v>0</v>
      </c>
      <c r="E79" s="51">
        <f t="shared" si="50"/>
        <v>7500</v>
      </c>
      <c r="F79" s="63">
        <f t="shared" si="40"/>
        <v>0</v>
      </c>
      <c r="G79" s="51">
        <f t="shared" si="50"/>
        <v>7500</v>
      </c>
      <c r="H79" s="63">
        <f t="shared" si="41"/>
        <v>0</v>
      </c>
      <c r="I79" s="51">
        <f t="shared" si="50"/>
        <v>7500</v>
      </c>
      <c r="J79" s="63">
        <f t="shared" si="42"/>
        <v>0</v>
      </c>
      <c r="K79" s="51">
        <f t="shared" si="50"/>
        <v>7500</v>
      </c>
      <c r="L79" s="63">
        <f t="shared" si="43"/>
        <v>0</v>
      </c>
      <c r="M79" s="51">
        <f>M80+M83</f>
        <v>7500</v>
      </c>
      <c r="N79" s="63">
        <f t="shared" si="44"/>
        <v>0</v>
      </c>
      <c r="O79" s="51">
        <f>O80+O83</f>
        <v>7500</v>
      </c>
      <c r="P79" s="63">
        <f t="shared" si="45"/>
        <v>0</v>
      </c>
      <c r="Q79" s="51">
        <f t="shared" si="50"/>
        <v>7500</v>
      </c>
      <c r="R79" s="63">
        <f t="shared" si="46"/>
        <v>2900</v>
      </c>
      <c r="S79" s="63">
        <f t="shared" si="47"/>
        <v>2900</v>
      </c>
      <c r="T79" s="51">
        <f t="shared" si="50"/>
        <v>10400</v>
      </c>
      <c r="V79" s="47"/>
      <c r="W79" s="48"/>
    </row>
    <row r="80" spans="1:23" s="49" customFormat="1" ht="60" x14ac:dyDescent="0.25">
      <c r="A80" s="44" t="s">
        <v>135</v>
      </c>
      <c r="B80" s="50" t="s">
        <v>134</v>
      </c>
      <c r="C80" s="51">
        <f t="shared" ref="C80:Q81" si="51">C81</f>
        <v>4000</v>
      </c>
      <c r="D80" s="63">
        <f t="shared" si="39"/>
        <v>0</v>
      </c>
      <c r="E80" s="51">
        <f t="shared" si="51"/>
        <v>4000</v>
      </c>
      <c r="F80" s="63">
        <f t="shared" si="40"/>
        <v>0</v>
      </c>
      <c r="G80" s="51">
        <f t="shared" si="51"/>
        <v>4000</v>
      </c>
      <c r="H80" s="63">
        <f t="shared" si="41"/>
        <v>0</v>
      </c>
      <c r="I80" s="51">
        <f t="shared" si="51"/>
        <v>4000</v>
      </c>
      <c r="J80" s="63">
        <f t="shared" si="42"/>
        <v>0</v>
      </c>
      <c r="K80" s="51">
        <f t="shared" si="51"/>
        <v>4000</v>
      </c>
      <c r="L80" s="63">
        <f t="shared" si="43"/>
        <v>0</v>
      </c>
      <c r="M80" s="51">
        <f>M81</f>
        <v>4000</v>
      </c>
      <c r="N80" s="63">
        <f t="shared" si="44"/>
        <v>0</v>
      </c>
      <c r="O80" s="51">
        <f>O81</f>
        <v>4000</v>
      </c>
      <c r="P80" s="63">
        <f t="shared" si="45"/>
        <v>0</v>
      </c>
      <c r="Q80" s="51">
        <f t="shared" si="51"/>
        <v>4000</v>
      </c>
      <c r="R80" s="63">
        <f t="shared" si="46"/>
        <v>1200</v>
      </c>
      <c r="S80" s="63">
        <f t="shared" si="47"/>
        <v>1200</v>
      </c>
      <c r="T80" s="51">
        <f>T82</f>
        <v>5200</v>
      </c>
      <c r="V80" s="47"/>
      <c r="W80" s="48"/>
    </row>
    <row r="81" spans="1:23" s="49" customFormat="1" ht="24.75" customHeight="1" x14ac:dyDescent="0.25">
      <c r="A81" s="44" t="s">
        <v>137</v>
      </c>
      <c r="B81" s="50" t="s">
        <v>136</v>
      </c>
      <c r="C81" s="51">
        <f t="shared" si="51"/>
        <v>4000</v>
      </c>
      <c r="D81" s="63">
        <f t="shared" si="39"/>
        <v>0</v>
      </c>
      <c r="E81" s="51">
        <f t="shared" si="51"/>
        <v>4000</v>
      </c>
      <c r="F81" s="63">
        <f t="shared" si="40"/>
        <v>0</v>
      </c>
      <c r="G81" s="51">
        <f t="shared" si="51"/>
        <v>4000</v>
      </c>
      <c r="H81" s="63">
        <f t="shared" si="41"/>
        <v>0</v>
      </c>
      <c r="I81" s="51">
        <f t="shared" si="51"/>
        <v>4000</v>
      </c>
      <c r="J81" s="63">
        <f t="shared" si="42"/>
        <v>0</v>
      </c>
      <c r="K81" s="51">
        <f t="shared" si="51"/>
        <v>4000</v>
      </c>
      <c r="L81" s="63">
        <f t="shared" si="43"/>
        <v>0</v>
      </c>
      <c r="M81" s="51">
        <f>M82</f>
        <v>4000</v>
      </c>
      <c r="N81" s="63">
        <f t="shared" si="44"/>
        <v>0</v>
      </c>
      <c r="O81" s="51">
        <f>O82</f>
        <v>4000</v>
      </c>
      <c r="P81" s="63">
        <f t="shared" si="45"/>
        <v>0</v>
      </c>
      <c r="Q81" s="51">
        <f t="shared" si="51"/>
        <v>4000</v>
      </c>
      <c r="R81" s="63">
        <f t="shared" si="46"/>
        <v>1200</v>
      </c>
      <c r="S81" s="63">
        <f t="shared" si="47"/>
        <v>1200</v>
      </c>
      <c r="T81" s="51">
        <f>T82</f>
        <v>5200</v>
      </c>
      <c r="V81" s="47"/>
      <c r="W81" s="48"/>
    </row>
    <row r="82" spans="1:23" s="49" customFormat="1" ht="36.75" customHeight="1" x14ac:dyDescent="0.25">
      <c r="A82" s="44" t="s">
        <v>139</v>
      </c>
      <c r="B82" s="50" t="s">
        <v>138</v>
      </c>
      <c r="C82" s="51">
        <v>4000</v>
      </c>
      <c r="D82" s="63">
        <f t="shared" si="39"/>
        <v>0</v>
      </c>
      <c r="E82" s="51">
        <f>C82</f>
        <v>4000</v>
      </c>
      <c r="F82" s="63">
        <f t="shared" si="40"/>
        <v>0</v>
      </c>
      <c r="G82" s="51">
        <f>E82</f>
        <v>4000</v>
      </c>
      <c r="H82" s="63">
        <f t="shared" si="41"/>
        <v>0</v>
      </c>
      <c r="I82" s="51">
        <f>G82</f>
        <v>4000</v>
      </c>
      <c r="J82" s="63">
        <f t="shared" si="42"/>
        <v>0</v>
      </c>
      <c r="K82" s="51">
        <f>I82</f>
        <v>4000</v>
      </c>
      <c r="L82" s="63">
        <f t="shared" si="43"/>
        <v>0</v>
      </c>
      <c r="M82" s="51">
        <f>K82</f>
        <v>4000</v>
      </c>
      <c r="N82" s="63">
        <f t="shared" si="44"/>
        <v>0</v>
      </c>
      <c r="O82" s="51">
        <f>M82</f>
        <v>4000</v>
      </c>
      <c r="P82" s="63">
        <f t="shared" si="45"/>
        <v>0</v>
      </c>
      <c r="Q82" s="51">
        <f t="shared" ref="Q82" si="52">O82</f>
        <v>4000</v>
      </c>
      <c r="R82" s="63">
        <f t="shared" si="46"/>
        <v>1200</v>
      </c>
      <c r="S82" s="63">
        <f t="shared" si="47"/>
        <v>1200</v>
      </c>
      <c r="T82" s="51">
        <f>Q82+1200</f>
        <v>5200</v>
      </c>
      <c r="V82" s="47"/>
      <c r="W82" s="48"/>
    </row>
    <row r="83" spans="1:23" s="49" customFormat="1" ht="24" x14ac:dyDescent="0.25">
      <c r="A83" s="44" t="s">
        <v>141</v>
      </c>
      <c r="B83" s="50" t="s">
        <v>140</v>
      </c>
      <c r="C83" s="51">
        <f t="shared" ref="C83:Q84" si="53">C84</f>
        <v>3500</v>
      </c>
      <c r="D83" s="63">
        <f t="shared" si="39"/>
        <v>0</v>
      </c>
      <c r="E83" s="51">
        <f t="shared" si="53"/>
        <v>3500</v>
      </c>
      <c r="F83" s="63">
        <f t="shared" si="40"/>
        <v>0</v>
      </c>
      <c r="G83" s="51">
        <f t="shared" si="53"/>
        <v>3500</v>
      </c>
      <c r="H83" s="63">
        <f t="shared" si="41"/>
        <v>0</v>
      </c>
      <c r="I83" s="51">
        <f t="shared" si="53"/>
        <v>3500</v>
      </c>
      <c r="J83" s="63">
        <f t="shared" si="42"/>
        <v>0</v>
      </c>
      <c r="K83" s="51">
        <f t="shared" si="53"/>
        <v>3500</v>
      </c>
      <c r="L83" s="63">
        <f t="shared" si="43"/>
        <v>0</v>
      </c>
      <c r="M83" s="51">
        <f>M84</f>
        <v>3500</v>
      </c>
      <c r="N83" s="63">
        <f t="shared" si="44"/>
        <v>0</v>
      </c>
      <c r="O83" s="51">
        <f>O84</f>
        <v>3500</v>
      </c>
      <c r="P83" s="63">
        <f t="shared" si="45"/>
        <v>0</v>
      </c>
      <c r="Q83" s="51">
        <f t="shared" si="53"/>
        <v>3500</v>
      </c>
      <c r="R83" s="63">
        <f t="shared" si="46"/>
        <v>1700</v>
      </c>
      <c r="S83" s="63">
        <f t="shared" si="47"/>
        <v>1700</v>
      </c>
      <c r="T83" s="51">
        <f>T84+T86</f>
        <v>5200</v>
      </c>
      <c r="V83" s="47"/>
      <c r="W83" s="48"/>
    </row>
    <row r="84" spans="1:23" s="49" customFormat="1" ht="28.5" customHeight="1" x14ac:dyDescent="0.25">
      <c r="A84" s="44" t="s">
        <v>143</v>
      </c>
      <c r="B84" s="50" t="s">
        <v>142</v>
      </c>
      <c r="C84" s="51">
        <f t="shared" si="53"/>
        <v>3500</v>
      </c>
      <c r="D84" s="63">
        <f t="shared" si="39"/>
        <v>0</v>
      </c>
      <c r="E84" s="51">
        <f t="shared" si="53"/>
        <v>3500</v>
      </c>
      <c r="F84" s="63">
        <f t="shared" si="40"/>
        <v>0</v>
      </c>
      <c r="G84" s="51">
        <f t="shared" si="53"/>
        <v>3500</v>
      </c>
      <c r="H84" s="63">
        <f t="shared" si="41"/>
        <v>0</v>
      </c>
      <c r="I84" s="51">
        <f t="shared" si="53"/>
        <v>3500</v>
      </c>
      <c r="J84" s="63">
        <f t="shared" si="42"/>
        <v>0</v>
      </c>
      <c r="K84" s="51">
        <f t="shared" si="53"/>
        <v>3500</v>
      </c>
      <c r="L84" s="63">
        <f t="shared" si="43"/>
        <v>0</v>
      </c>
      <c r="M84" s="51">
        <f>M85</f>
        <v>3500</v>
      </c>
      <c r="N84" s="63">
        <f t="shared" si="44"/>
        <v>0</v>
      </c>
      <c r="O84" s="51">
        <f>O85</f>
        <v>3500</v>
      </c>
      <c r="P84" s="63">
        <f t="shared" si="45"/>
        <v>0</v>
      </c>
      <c r="Q84" s="51">
        <f t="shared" si="53"/>
        <v>3500</v>
      </c>
      <c r="R84" s="63">
        <f t="shared" si="46"/>
        <v>1750</v>
      </c>
      <c r="S84" s="63">
        <f t="shared" si="47"/>
        <v>1750</v>
      </c>
      <c r="T84" s="51">
        <f>T85</f>
        <v>5250</v>
      </c>
      <c r="V84" s="47"/>
      <c r="W84" s="48"/>
    </row>
    <row r="85" spans="1:23" s="49" customFormat="1" ht="38.25" customHeight="1" x14ac:dyDescent="0.25">
      <c r="A85" s="44" t="s">
        <v>145</v>
      </c>
      <c r="B85" s="50" t="s">
        <v>144</v>
      </c>
      <c r="C85" s="51">
        <v>3500</v>
      </c>
      <c r="D85" s="63">
        <f t="shared" si="39"/>
        <v>0</v>
      </c>
      <c r="E85" s="51">
        <f>C85</f>
        <v>3500</v>
      </c>
      <c r="F85" s="63">
        <f t="shared" si="40"/>
        <v>0</v>
      </c>
      <c r="G85" s="51">
        <f>E85</f>
        <v>3500</v>
      </c>
      <c r="H85" s="63">
        <f t="shared" si="41"/>
        <v>0</v>
      </c>
      <c r="I85" s="51">
        <f>G85</f>
        <v>3500</v>
      </c>
      <c r="J85" s="63">
        <f t="shared" si="42"/>
        <v>0</v>
      </c>
      <c r="K85" s="51">
        <f>I85</f>
        <v>3500</v>
      </c>
      <c r="L85" s="63">
        <f t="shared" si="43"/>
        <v>0</v>
      </c>
      <c r="M85" s="51">
        <f>K85</f>
        <v>3500</v>
      </c>
      <c r="N85" s="63">
        <f t="shared" si="44"/>
        <v>0</v>
      </c>
      <c r="O85" s="51">
        <f>M85</f>
        <v>3500</v>
      </c>
      <c r="P85" s="63">
        <f t="shared" si="45"/>
        <v>0</v>
      </c>
      <c r="Q85" s="51">
        <f t="shared" ref="Q85" si="54">O85</f>
        <v>3500</v>
      </c>
      <c r="R85" s="63">
        <f t="shared" si="46"/>
        <v>1750</v>
      </c>
      <c r="S85" s="63">
        <f t="shared" si="47"/>
        <v>1750</v>
      </c>
      <c r="T85" s="51">
        <f>Q85+1750</f>
        <v>5250</v>
      </c>
      <c r="V85" s="47"/>
      <c r="W85" s="48"/>
    </row>
    <row r="86" spans="1:23" s="49" customFormat="1" ht="60" x14ac:dyDescent="0.25">
      <c r="A86" s="44" t="s">
        <v>147</v>
      </c>
      <c r="B86" s="50" t="s">
        <v>146</v>
      </c>
      <c r="C86" s="53">
        <v>0</v>
      </c>
      <c r="D86" s="63">
        <f t="shared" si="39"/>
        <v>0</v>
      </c>
      <c r="E86" s="53">
        <v>0</v>
      </c>
      <c r="F86" s="63">
        <f t="shared" si="40"/>
        <v>0</v>
      </c>
      <c r="G86" s="53">
        <v>0</v>
      </c>
      <c r="H86" s="63">
        <f t="shared" si="41"/>
        <v>0</v>
      </c>
      <c r="I86" s="53">
        <v>0</v>
      </c>
      <c r="J86" s="63">
        <f t="shared" si="42"/>
        <v>0</v>
      </c>
      <c r="K86" s="53">
        <v>0</v>
      </c>
      <c r="L86" s="63">
        <f t="shared" si="43"/>
        <v>0</v>
      </c>
      <c r="M86" s="53">
        <v>0</v>
      </c>
      <c r="N86" s="63">
        <f t="shared" si="44"/>
        <v>0</v>
      </c>
      <c r="O86" s="53">
        <v>0</v>
      </c>
      <c r="P86" s="63">
        <f t="shared" si="45"/>
        <v>0</v>
      </c>
      <c r="Q86" s="53">
        <v>0</v>
      </c>
      <c r="R86" s="63">
        <f t="shared" si="46"/>
        <v>-50</v>
      </c>
      <c r="S86" s="63">
        <f t="shared" si="47"/>
        <v>-50</v>
      </c>
      <c r="T86" s="53">
        <f>T87</f>
        <v>-50</v>
      </c>
      <c r="V86" s="47"/>
      <c r="W86" s="48"/>
    </row>
    <row r="87" spans="1:23" s="49" customFormat="1" ht="46.5" customHeight="1" x14ac:dyDescent="0.25">
      <c r="A87" s="44" t="s">
        <v>149</v>
      </c>
      <c r="B87" s="50" t="s">
        <v>148</v>
      </c>
      <c r="C87" s="53">
        <v>0</v>
      </c>
      <c r="D87" s="63">
        <f t="shared" si="39"/>
        <v>0</v>
      </c>
      <c r="E87" s="53">
        <v>0</v>
      </c>
      <c r="F87" s="63">
        <f t="shared" si="40"/>
        <v>0</v>
      </c>
      <c r="G87" s="53">
        <v>0</v>
      </c>
      <c r="H87" s="63">
        <f t="shared" si="41"/>
        <v>0</v>
      </c>
      <c r="I87" s="53">
        <v>0</v>
      </c>
      <c r="J87" s="63">
        <f t="shared" si="42"/>
        <v>0</v>
      </c>
      <c r="K87" s="53">
        <v>0</v>
      </c>
      <c r="L87" s="63">
        <f t="shared" si="43"/>
        <v>0</v>
      </c>
      <c r="M87" s="53">
        <v>0</v>
      </c>
      <c r="N87" s="63">
        <f t="shared" si="44"/>
        <v>0</v>
      </c>
      <c r="O87" s="53">
        <v>0</v>
      </c>
      <c r="P87" s="63">
        <f t="shared" si="45"/>
        <v>0</v>
      </c>
      <c r="Q87" s="53">
        <v>0</v>
      </c>
      <c r="R87" s="63">
        <f t="shared" si="46"/>
        <v>-50</v>
      </c>
      <c r="S87" s="63">
        <f t="shared" si="47"/>
        <v>-50</v>
      </c>
      <c r="T87" s="53">
        <f>T88</f>
        <v>-50</v>
      </c>
      <c r="V87" s="47"/>
      <c r="W87" s="48"/>
    </row>
    <row r="88" spans="1:23" s="49" customFormat="1" ht="36.75" customHeight="1" x14ac:dyDescent="0.25">
      <c r="A88" s="44" t="s">
        <v>151</v>
      </c>
      <c r="B88" s="50" t="s">
        <v>150</v>
      </c>
      <c r="C88" s="53">
        <v>0</v>
      </c>
      <c r="D88" s="63">
        <f t="shared" si="39"/>
        <v>0</v>
      </c>
      <c r="E88" s="53">
        <v>0</v>
      </c>
      <c r="F88" s="63">
        <f t="shared" si="40"/>
        <v>0</v>
      </c>
      <c r="G88" s="53">
        <v>0</v>
      </c>
      <c r="H88" s="63">
        <f t="shared" si="41"/>
        <v>0</v>
      </c>
      <c r="I88" s="53">
        <v>0</v>
      </c>
      <c r="J88" s="63">
        <f t="shared" si="42"/>
        <v>0</v>
      </c>
      <c r="K88" s="53">
        <v>0</v>
      </c>
      <c r="L88" s="63">
        <f t="shared" si="43"/>
        <v>0</v>
      </c>
      <c r="M88" s="53">
        <v>0</v>
      </c>
      <c r="N88" s="63">
        <f t="shared" si="44"/>
        <v>0</v>
      </c>
      <c r="O88" s="53">
        <v>0</v>
      </c>
      <c r="P88" s="63">
        <f t="shared" si="45"/>
        <v>0</v>
      </c>
      <c r="Q88" s="53">
        <v>0</v>
      </c>
      <c r="R88" s="63">
        <f t="shared" si="46"/>
        <v>-50</v>
      </c>
      <c r="S88" s="63">
        <f t="shared" si="47"/>
        <v>-50</v>
      </c>
      <c r="T88" s="53">
        <v>-50</v>
      </c>
      <c r="V88" s="47"/>
      <c r="W88" s="48"/>
    </row>
    <row r="89" spans="1:23" s="49" customFormat="1" ht="18" customHeight="1" x14ac:dyDescent="0.25">
      <c r="A89" s="44" t="s">
        <v>153</v>
      </c>
      <c r="B89" s="50" t="s">
        <v>152</v>
      </c>
      <c r="C89" s="51">
        <f t="shared" ref="C89:T90" si="55">C90</f>
        <v>4000</v>
      </c>
      <c r="D89" s="63">
        <f t="shared" si="39"/>
        <v>0</v>
      </c>
      <c r="E89" s="51">
        <f t="shared" si="55"/>
        <v>4000</v>
      </c>
      <c r="F89" s="63">
        <f t="shared" si="40"/>
        <v>0</v>
      </c>
      <c r="G89" s="51">
        <f t="shared" si="55"/>
        <v>4000</v>
      </c>
      <c r="H89" s="63">
        <f t="shared" si="41"/>
        <v>0</v>
      </c>
      <c r="I89" s="51">
        <f t="shared" si="55"/>
        <v>4000</v>
      </c>
      <c r="J89" s="63">
        <f t="shared" si="42"/>
        <v>0</v>
      </c>
      <c r="K89" s="51">
        <f t="shared" si="55"/>
        <v>4000</v>
      </c>
      <c r="L89" s="63">
        <f t="shared" si="43"/>
        <v>0</v>
      </c>
      <c r="M89" s="51">
        <f>M90</f>
        <v>4000</v>
      </c>
      <c r="N89" s="63">
        <f t="shared" si="44"/>
        <v>0</v>
      </c>
      <c r="O89" s="51">
        <f>O90</f>
        <v>4000</v>
      </c>
      <c r="P89" s="63">
        <f t="shared" si="45"/>
        <v>0</v>
      </c>
      <c r="Q89" s="51">
        <f t="shared" si="55"/>
        <v>4000</v>
      </c>
      <c r="R89" s="63">
        <f t="shared" si="46"/>
        <v>-2000</v>
      </c>
      <c r="S89" s="63">
        <f t="shared" si="47"/>
        <v>-2000</v>
      </c>
      <c r="T89" s="51">
        <f t="shared" si="55"/>
        <v>2000</v>
      </c>
      <c r="V89" s="47"/>
      <c r="W89" s="48"/>
    </row>
    <row r="90" spans="1:23" s="49" customFormat="1" ht="80.25" customHeight="1" x14ac:dyDescent="0.25">
      <c r="A90" s="44" t="s">
        <v>361</v>
      </c>
      <c r="B90" s="50" t="s">
        <v>362</v>
      </c>
      <c r="C90" s="51">
        <f t="shared" si="55"/>
        <v>4000</v>
      </c>
      <c r="D90" s="63">
        <f t="shared" si="39"/>
        <v>0</v>
      </c>
      <c r="E90" s="51">
        <f t="shared" si="55"/>
        <v>4000</v>
      </c>
      <c r="F90" s="63">
        <f t="shared" si="40"/>
        <v>0</v>
      </c>
      <c r="G90" s="51">
        <f t="shared" si="55"/>
        <v>4000</v>
      </c>
      <c r="H90" s="63">
        <f t="shared" si="41"/>
        <v>0</v>
      </c>
      <c r="I90" s="51">
        <f t="shared" si="55"/>
        <v>4000</v>
      </c>
      <c r="J90" s="63">
        <f t="shared" si="42"/>
        <v>0</v>
      </c>
      <c r="K90" s="51">
        <f t="shared" si="55"/>
        <v>4000</v>
      </c>
      <c r="L90" s="63">
        <f t="shared" si="43"/>
        <v>0</v>
      </c>
      <c r="M90" s="51">
        <f>M91</f>
        <v>4000</v>
      </c>
      <c r="N90" s="63">
        <f t="shared" si="44"/>
        <v>0</v>
      </c>
      <c r="O90" s="51">
        <f>O91</f>
        <v>4000</v>
      </c>
      <c r="P90" s="63">
        <f t="shared" si="45"/>
        <v>0</v>
      </c>
      <c r="Q90" s="51">
        <f t="shared" si="55"/>
        <v>4000</v>
      </c>
      <c r="R90" s="63">
        <f t="shared" si="46"/>
        <v>-2000</v>
      </c>
      <c r="S90" s="63">
        <f t="shared" si="47"/>
        <v>-2000</v>
      </c>
      <c r="T90" s="51">
        <f t="shared" si="55"/>
        <v>2000</v>
      </c>
      <c r="V90" s="47"/>
      <c r="W90" s="48"/>
    </row>
    <row r="91" spans="1:23" s="49" customFormat="1" ht="60" x14ac:dyDescent="0.25">
      <c r="A91" s="44" t="s">
        <v>363</v>
      </c>
      <c r="B91" s="50" t="s">
        <v>364</v>
      </c>
      <c r="C91" s="51">
        <v>4000</v>
      </c>
      <c r="D91" s="63">
        <f t="shared" si="39"/>
        <v>0</v>
      </c>
      <c r="E91" s="51">
        <f>C91</f>
        <v>4000</v>
      </c>
      <c r="F91" s="63">
        <f t="shared" si="40"/>
        <v>0</v>
      </c>
      <c r="G91" s="51">
        <f>E91</f>
        <v>4000</v>
      </c>
      <c r="H91" s="63">
        <f t="shared" si="41"/>
        <v>0</v>
      </c>
      <c r="I91" s="51">
        <f>G91</f>
        <v>4000</v>
      </c>
      <c r="J91" s="63">
        <f t="shared" si="42"/>
        <v>0</v>
      </c>
      <c r="K91" s="51">
        <f>I91</f>
        <v>4000</v>
      </c>
      <c r="L91" s="63">
        <f t="shared" si="43"/>
        <v>0</v>
      </c>
      <c r="M91" s="51">
        <f>K91</f>
        <v>4000</v>
      </c>
      <c r="N91" s="63">
        <f t="shared" si="44"/>
        <v>0</v>
      </c>
      <c r="O91" s="51">
        <f>M91</f>
        <v>4000</v>
      </c>
      <c r="P91" s="63">
        <f t="shared" si="45"/>
        <v>0</v>
      </c>
      <c r="Q91" s="51">
        <f t="shared" ref="Q91" si="56">O91</f>
        <v>4000</v>
      </c>
      <c r="R91" s="63">
        <f t="shared" si="46"/>
        <v>-2000</v>
      </c>
      <c r="S91" s="63">
        <f t="shared" si="47"/>
        <v>-2000</v>
      </c>
      <c r="T91" s="51">
        <f>Q91-2000</f>
        <v>2000</v>
      </c>
      <c r="V91" s="47"/>
      <c r="W91" s="48"/>
    </row>
    <row r="92" spans="1:23" s="49" customFormat="1" ht="15" customHeight="1" x14ac:dyDescent="0.25">
      <c r="A92" s="44" t="s">
        <v>155</v>
      </c>
      <c r="B92" s="50" t="s">
        <v>154</v>
      </c>
      <c r="C92" s="51">
        <f t="shared" ref="C92:Q92" si="57">C93+C95</f>
        <v>6000</v>
      </c>
      <c r="D92" s="63">
        <f t="shared" si="39"/>
        <v>0</v>
      </c>
      <c r="E92" s="51">
        <f t="shared" si="57"/>
        <v>6000</v>
      </c>
      <c r="F92" s="63">
        <f t="shared" si="40"/>
        <v>0</v>
      </c>
      <c r="G92" s="51">
        <f t="shared" si="57"/>
        <v>6000</v>
      </c>
      <c r="H92" s="63">
        <f t="shared" si="41"/>
        <v>0</v>
      </c>
      <c r="I92" s="51">
        <f t="shared" si="57"/>
        <v>6000</v>
      </c>
      <c r="J92" s="63">
        <f t="shared" si="42"/>
        <v>-4082.5</v>
      </c>
      <c r="K92" s="51">
        <f t="shared" si="57"/>
        <v>1917.5</v>
      </c>
      <c r="L92" s="63">
        <f t="shared" si="43"/>
        <v>0</v>
      </c>
      <c r="M92" s="51">
        <f>M93+M95</f>
        <v>1917.5</v>
      </c>
      <c r="N92" s="63">
        <f t="shared" si="44"/>
        <v>0</v>
      </c>
      <c r="O92" s="51">
        <f>O93+O95</f>
        <v>1917.5</v>
      </c>
      <c r="P92" s="63">
        <f t="shared" si="45"/>
        <v>0</v>
      </c>
      <c r="Q92" s="51">
        <f t="shared" si="57"/>
        <v>1917.5</v>
      </c>
      <c r="R92" s="63">
        <f t="shared" si="46"/>
        <v>-1367.5</v>
      </c>
      <c r="S92" s="63">
        <f t="shared" si="47"/>
        <v>-5450</v>
      </c>
      <c r="T92" s="51">
        <f>T95+T93</f>
        <v>550</v>
      </c>
      <c r="V92" s="47"/>
      <c r="W92" s="48"/>
    </row>
    <row r="93" spans="1:23" s="49" customFormat="1" ht="15.75" x14ac:dyDescent="0.25">
      <c r="A93" s="44" t="s">
        <v>157</v>
      </c>
      <c r="B93" s="50" t="s">
        <v>156</v>
      </c>
      <c r="C93" s="51">
        <v>0</v>
      </c>
      <c r="D93" s="63">
        <f t="shared" si="39"/>
        <v>0</v>
      </c>
      <c r="E93" s="51">
        <v>0</v>
      </c>
      <c r="F93" s="63">
        <f t="shared" si="40"/>
        <v>0</v>
      </c>
      <c r="G93" s="51">
        <v>0</v>
      </c>
      <c r="H93" s="63">
        <f t="shared" si="41"/>
        <v>0</v>
      </c>
      <c r="I93" s="51">
        <v>0</v>
      </c>
      <c r="J93" s="63">
        <f t="shared" si="42"/>
        <v>0</v>
      </c>
      <c r="K93" s="51">
        <v>0</v>
      </c>
      <c r="L93" s="63">
        <f t="shared" si="43"/>
        <v>0</v>
      </c>
      <c r="M93" s="51">
        <f>M94</f>
        <v>0</v>
      </c>
      <c r="N93" s="63">
        <f t="shared" si="44"/>
        <v>0</v>
      </c>
      <c r="O93" s="51">
        <f>O94</f>
        <v>0</v>
      </c>
      <c r="P93" s="63">
        <f t="shared" si="45"/>
        <v>0</v>
      </c>
      <c r="Q93" s="51">
        <v>0</v>
      </c>
      <c r="R93" s="63">
        <f t="shared" si="46"/>
        <v>0</v>
      </c>
      <c r="S93" s="63">
        <f t="shared" si="47"/>
        <v>0</v>
      </c>
      <c r="T93" s="51">
        <f>T94</f>
        <v>0</v>
      </c>
      <c r="V93" s="47"/>
      <c r="W93" s="48"/>
    </row>
    <row r="94" spans="1:23" s="49" customFormat="1" ht="24" x14ac:dyDescent="0.25">
      <c r="A94" s="44" t="s">
        <v>159</v>
      </c>
      <c r="B94" s="50" t="s">
        <v>158</v>
      </c>
      <c r="C94" s="51">
        <v>0</v>
      </c>
      <c r="D94" s="63">
        <f t="shared" si="39"/>
        <v>0</v>
      </c>
      <c r="E94" s="51">
        <v>0</v>
      </c>
      <c r="F94" s="63">
        <f t="shared" si="40"/>
        <v>0</v>
      </c>
      <c r="G94" s="51">
        <v>0</v>
      </c>
      <c r="H94" s="63">
        <f t="shared" si="41"/>
        <v>0</v>
      </c>
      <c r="I94" s="51">
        <v>0</v>
      </c>
      <c r="J94" s="63">
        <f t="shared" si="42"/>
        <v>0</v>
      </c>
      <c r="K94" s="51">
        <v>0</v>
      </c>
      <c r="L94" s="63">
        <f t="shared" si="43"/>
        <v>0</v>
      </c>
      <c r="M94" s="51">
        <f>K94</f>
        <v>0</v>
      </c>
      <c r="N94" s="63">
        <f t="shared" si="44"/>
        <v>0</v>
      </c>
      <c r="O94" s="51">
        <v>0</v>
      </c>
      <c r="P94" s="63">
        <f t="shared" si="45"/>
        <v>0</v>
      </c>
      <c r="Q94" s="51">
        <v>0</v>
      </c>
      <c r="R94" s="63">
        <f t="shared" si="46"/>
        <v>0</v>
      </c>
      <c r="S94" s="63">
        <f t="shared" si="47"/>
        <v>0</v>
      </c>
      <c r="T94" s="51">
        <v>0</v>
      </c>
      <c r="V94" s="47"/>
      <c r="W94" s="48"/>
    </row>
    <row r="95" spans="1:23" s="49" customFormat="1" ht="15.75" x14ac:dyDescent="0.25">
      <c r="A95" s="44" t="s">
        <v>161</v>
      </c>
      <c r="B95" s="50" t="s">
        <v>160</v>
      </c>
      <c r="C95" s="51">
        <f t="shared" ref="C95:T95" si="58">C96</f>
        <v>6000</v>
      </c>
      <c r="D95" s="63">
        <f t="shared" si="39"/>
        <v>0</v>
      </c>
      <c r="E95" s="51">
        <f t="shared" si="58"/>
        <v>6000</v>
      </c>
      <c r="F95" s="63">
        <f t="shared" si="40"/>
        <v>0</v>
      </c>
      <c r="G95" s="51">
        <f t="shared" si="58"/>
        <v>6000</v>
      </c>
      <c r="H95" s="63">
        <f t="shared" si="41"/>
        <v>0</v>
      </c>
      <c r="I95" s="51">
        <f t="shared" si="58"/>
        <v>6000</v>
      </c>
      <c r="J95" s="63">
        <f t="shared" si="42"/>
        <v>-4082.5</v>
      </c>
      <c r="K95" s="51">
        <f t="shared" si="58"/>
        <v>1917.5</v>
      </c>
      <c r="L95" s="63">
        <f t="shared" si="43"/>
        <v>0</v>
      </c>
      <c r="M95" s="51">
        <f>M96</f>
        <v>1917.5</v>
      </c>
      <c r="N95" s="63">
        <f t="shared" si="44"/>
        <v>0</v>
      </c>
      <c r="O95" s="51">
        <f>O96</f>
        <v>1917.5</v>
      </c>
      <c r="P95" s="63">
        <f t="shared" si="45"/>
        <v>0</v>
      </c>
      <c r="Q95" s="51">
        <f t="shared" si="58"/>
        <v>1917.5</v>
      </c>
      <c r="R95" s="63">
        <f t="shared" si="46"/>
        <v>-1367.5</v>
      </c>
      <c r="S95" s="63">
        <f t="shared" si="47"/>
        <v>-5450</v>
      </c>
      <c r="T95" s="51">
        <f t="shared" si="58"/>
        <v>550</v>
      </c>
      <c r="V95" s="47"/>
      <c r="W95" s="48"/>
    </row>
    <row r="96" spans="1:23" s="49" customFormat="1" ht="15.75" x14ac:dyDescent="0.25">
      <c r="A96" s="44" t="s">
        <v>163</v>
      </c>
      <c r="B96" s="50" t="s">
        <v>162</v>
      </c>
      <c r="C96" s="51">
        <v>6000</v>
      </c>
      <c r="D96" s="63">
        <f t="shared" si="39"/>
        <v>0</v>
      </c>
      <c r="E96" s="51">
        <f>C96</f>
        <v>6000</v>
      </c>
      <c r="F96" s="63">
        <f t="shared" si="40"/>
        <v>0</v>
      </c>
      <c r="G96" s="51">
        <f>E96</f>
        <v>6000</v>
      </c>
      <c r="H96" s="63">
        <f t="shared" si="41"/>
        <v>0</v>
      </c>
      <c r="I96" s="51">
        <f>G96</f>
        <v>6000</v>
      </c>
      <c r="J96" s="63">
        <f t="shared" si="42"/>
        <v>-4082.5</v>
      </c>
      <c r="K96" s="51">
        <f>I96-4082.5</f>
        <v>1917.5</v>
      </c>
      <c r="L96" s="63">
        <f t="shared" si="43"/>
        <v>0</v>
      </c>
      <c r="M96" s="51">
        <f>K96</f>
        <v>1917.5</v>
      </c>
      <c r="N96" s="63">
        <f t="shared" si="44"/>
        <v>0</v>
      </c>
      <c r="O96" s="51">
        <f>M96</f>
        <v>1917.5</v>
      </c>
      <c r="P96" s="63">
        <f t="shared" si="45"/>
        <v>0</v>
      </c>
      <c r="Q96" s="51">
        <f>O96</f>
        <v>1917.5</v>
      </c>
      <c r="R96" s="63">
        <f t="shared" si="46"/>
        <v>-1367.5</v>
      </c>
      <c r="S96" s="63">
        <f t="shared" si="47"/>
        <v>-5450</v>
      </c>
      <c r="T96" s="51">
        <f>Q96-1367.5</f>
        <v>550</v>
      </c>
      <c r="V96" s="47"/>
      <c r="W96" s="48"/>
    </row>
    <row r="97" spans="1:23" s="46" customFormat="1" ht="15.75" customHeight="1" x14ac:dyDescent="0.25">
      <c r="A97" s="64" t="s">
        <v>165</v>
      </c>
      <c r="B97" s="65" t="s">
        <v>164</v>
      </c>
      <c r="C97" s="62">
        <f t="shared" ref="C97:T97" si="59">C98</f>
        <v>807015.33640999999</v>
      </c>
      <c r="D97" s="59">
        <f t="shared" si="39"/>
        <v>140396.56853000005</v>
      </c>
      <c r="E97" s="62">
        <f t="shared" si="59"/>
        <v>947411.90494000004</v>
      </c>
      <c r="F97" s="59">
        <f t="shared" si="40"/>
        <v>23876.348209999967</v>
      </c>
      <c r="G97" s="62">
        <f t="shared" si="59"/>
        <v>971288.25315</v>
      </c>
      <c r="H97" s="59">
        <f t="shared" si="41"/>
        <v>59229.761960000033</v>
      </c>
      <c r="I97" s="62">
        <f t="shared" si="59"/>
        <v>1030518.01511</v>
      </c>
      <c r="J97" s="59">
        <f t="shared" si="42"/>
        <v>-151.84224999998696</v>
      </c>
      <c r="K97" s="62">
        <f t="shared" si="59"/>
        <v>1030366.17286</v>
      </c>
      <c r="L97" s="59">
        <f t="shared" si="43"/>
        <v>52441.049799999921</v>
      </c>
      <c r="M97" s="62">
        <f t="shared" si="59"/>
        <v>1082807.22266</v>
      </c>
      <c r="N97" s="59">
        <f t="shared" si="44"/>
        <v>124433.02200000011</v>
      </c>
      <c r="O97" s="62">
        <f t="shared" si="59"/>
        <v>1207240.2446600001</v>
      </c>
      <c r="P97" s="59">
        <f t="shared" si="45"/>
        <v>-7619.4330500001088</v>
      </c>
      <c r="Q97" s="62">
        <f>Q98</f>
        <v>1199620.81161</v>
      </c>
      <c r="R97" s="59">
        <f t="shared" si="46"/>
        <v>52113.128849999746</v>
      </c>
      <c r="S97" s="59">
        <f t="shared" si="47"/>
        <v>444718.60404999973</v>
      </c>
      <c r="T97" s="62">
        <f t="shared" si="59"/>
        <v>1251733.9404599997</v>
      </c>
      <c r="V97" s="48"/>
      <c r="W97" s="48"/>
    </row>
    <row r="98" spans="1:23" s="49" customFormat="1" ht="36.75" customHeight="1" x14ac:dyDescent="0.25">
      <c r="A98" s="44" t="s">
        <v>167</v>
      </c>
      <c r="B98" s="50" t="s">
        <v>166</v>
      </c>
      <c r="C98" s="51">
        <f>C99+C104+C123+C144+C148</f>
        <v>807015.33640999999</v>
      </c>
      <c r="D98" s="63">
        <f t="shared" si="39"/>
        <v>140396.56853000005</v>
      </c>
      <c r="E98" s="51">
        <f>E99+E104+E123+E144+E148</f>
        <v>947411.90494000004</v>
      </c>
      <c r="F98" s="63">
        <f t="shared" si="40"/>
        <v>23876.348209999967</v>
      </c>
      <c r="G98" s="51">
        <f>G99+G104+G123+G144+G148</f>
        <v>971288.25315</v>
      </c>
      <c r="H98" s="63">
        <f t="shared" si="41"/>
        <v>59229.761960000033</v>
      </c>
      <c r="I98" s="51">
        <f>I99+I104+I123+I144+I148</f>
        <v>1030518.01511</v>
      </c>
      <c r="J98" s="63">
        <f t="shared" si="42"/>
        <v>-151.84224999998696</v>
      </c>
      <c r="K98" s="51">
        <f>K99+K104+K123+K144+K148</f>
        <v>1030366.17286</v>
      </c>
      <c r="L98" s="63">
        <f t="shared" si="43"/>
        <v>52441.049799999921</v>
      </c>
      <c r="M98" s="51">
        <f>M99+M104+M123+M144+M148+M150</f>
        <v>1082807.22266</v>
      </c>
      <c r="N98" s="63">
        <f t="shared" si="44"/>
        <v>124433.02200000011</v>
      </c>
      <c r="O98" s="51">
        <f>O99+O104+O123+O144+O148+O150</f>
        <v>1207240.2446600001</v>
      </c>
      <c r="P98" s="63">
        <f t="shared" si="45"/>
        <v>-7619.4330500001088</v>
      </c>
      <c r="Q98" s="51">
        <f>Q99+Q104+Q123+Q144+Q148+Q150</f>
        <v>1199620.81161</v>
      </c>
      <c r="R98" s="63">
        <f t="shared" si="46"/>
        <v>52113.128849999746</v>
      </c>
      <c r="S98" s="63">
        <f t="shared" si="47"/>
        <v>444718.60404999973</v>
      </c>
      <c r="T98" s="51">
        <f>T99+T104+T123+T144+T148+T150+T146</f>
        <v>1251733.9404599997</v>
      </c>
      <c r="V98" s="47"/>
      <c r="W98" s="48"/>
    </row>
    <row r="99" spans="1:23" s="49" customFormat="1" ht="15.75" x14ac:dyDescent="0.25">
      <c r="A99" s="44" t="s">
        <v>169</v>
      </c>
      <c r="B99" s="50" t="s">
        <v>168</v>
      </c>
      <c r="C99" s="51">
        <f>C100</f>
        <v>0</v>
      </c>
      <c r="D99" s="63">
        <f t="shared" si="39"/>
        <v>0</v>
      </c>
      <c r="E99" s="51">
        <f>E100</f>
        <v>0</v>
      </c>
      <c r="F99" s="63">
        <f t="shared" si="40"/>
        <v>0</v>
      </c>
      <c r="G99" s="51">
        <f t="shared" ref="G99:T99" si="60">G100+G102</f>
        <v>0</v>
      </c>
      <c r="H99" s="63">
        <f t="shared" si="41"/>
        <v>58635.3</v>
      </c>
      <c r="I99" s="51">
        <f t="shared" si="60"/>
        <v>58635.3</v>
      </c>
      <c r="J99" s="63">
        <f t="shared" si="42"/>
        <v>0</v>
      </c>
      <c r="K99" s="51">
        <f t="shared" si="60"/>
        <v>58635.3</v>
      </c>
      <c r="L99" s="63">
        <f t="shared" si="43"/>
        <v>20000</v>
      </c>
      <c r="M99" s="51">
        <f>M100+M102</f>
        <v>78635.3</v>
      </c>
      <c r="N99" s="63">
        <f t="shared" si="44"/>
        <v>-15614.099999999999</v>
      </c>
      <c r="O99" s="51">
        <f>O100+O102</f>
        <v>63021.200000000004</v>
      </c>
      <c r="P99" s="63">
        <f t="shared" si="45"/>
        <v>0</v>
      </c>
      <c r="Q99" s="51">
        <f t="shared" si="60"/>
        <v>63021.200000000004</v>
      </c>
      <c r="R99" s="63">
        <f t="shared" si="46"/>
        <v>56639.819599999995</v>
      </c>
      <c r="S99" s="63">
        <f t="shared" si="47"/>
        <v>119661.0196</v>
      </c>
      <c r="T99" s="51">
        <f t="shared" si="60"/>
        <v>119661.0196</v>
      </c>
      <c r="V99" s="47"/>
      <c r="W99" s="48"/>
    </row>
    <row r="100" spans="1:23" s="49" customFormat="1" ht="24" x14ac:dyDescent="0.25">
      <c r="A100" s="44" t="s">
        <v>171</v>
      </c>
      <c r="B100" s="50" t="s">
        <v>170</v>
      </c>
      <c r="C100" s="53">
        <f>C101</f>
        <v>0</v>
      </c>
      <c r="D100" s="63">
        <f t="shared" si="39"/>
        <v>0</v>
      </c>
      <c r="E100" s="53">
        <f>E101</f>
        <v>0</v>
      </c>
      <c r="F100" s="63">
        <f t="shared" si="40"/>
        <v>0</v>
      </c>
      <c r="G100" s="53">
        <f t="shared" ref="G100:T100" si="61">G101</f>
        <v>0</v>
      </c>
      <c r="H100" s="63">
        <f t="shared" si="41"/>
        <v>58635.3</v>
      </c>
      <c r="I100" s="53">
        <f t="shared" si="61"/>
        <v>58635.3</v>
      </c>
      <c r="J100" s="63">
        <f t="shared" si="42"/>
        <v>0</v>
      </c>
      <c r="K100" s="53">
        <f t="shared" si="61"/>
        <v>58635.3</v>
      </c>
      <c r="L100" s="63">
        <f t="shared" si="43"/>
        <v>0</v>
      </c>
      <c r="M100" s="53">
        <f>M101</f>
        <v>58635.3</v>
      </c>
      <c r="N100" s="63">
        <f t="shared" si="44"/>
        <v>4385.9000000000015</v>
      </c>
      <c r="O100" s="53">
        <f>O101</f>
        <v>63021.200000000004</v>
      </c>
      <c r="P100" s="63">
        <f t="shared" si="45"/>
        <v>0</v>
      </c>
      <c r="Q100" s="53">
        <f t="shared" si="61"/>
        <v>63021.200000000004</v>
      </c>
      <c r="R100" s="63">
        <f t="shared" si="46"/>
        <v>49283.69999999999</v>
      </c>
      <c r="S100" s="63">
        <f t="shared" si="47"/>
        <v>112304.9</v>
      </c>
      <c r="T100" s="53">
        <f t="shared" si="61"/>
        <v>112304.9</v>
      </c>
      <c r="V100" s="47"/>
      <c r="W100" s="48"/>
    </row>
    <row r="101" spans="1:23" s="49" customFormat="1" ht="24" x14ac:dyDescent="0.25">
      <c r="A101" s="44" t="s">
        <v>173</v>
      </c>
      <c r="B101" s="50" t="s">
        <v>172</v>
      </c>
      <c r="C101" s="53">
        <v>0</v>
      </c>
      <c r="D101" s="63">
        <f t="shared" si="39"/>
        <v>0</v>
      </c>
      <c r="E101" s="53">
        <v>0</v>
      </c>
      <c r="F101" s="63">
        <f t="shared" si="40"/>
        <v>0</v>
      </c>
      <c r="G101" s="53">
        <v>0</v>
      </c>
      <c r="H101" s="63">
        <f t="shared" si="41"/>
        <v>58635.3</v>
      </c>
      <c r="I101" s="53">
        <v>58635.3</v>
      </c>
      <c r="J101" s="63">
        <f t="shared" si="42"/>
        <v>0</v>
      </c>
      <c r="K101" s="53">
        <f>I101</f>
        <v>58635.3</v>
      </c>
      <c r="L101" s="63">
        <f t="shared" si="43"/>
        <v>0</v>
      </c>
      <c r="M101" s="53">
        <f>K101</f>
        <v>58635.3</v>
      </c>
      <c r="N101" s="63">
        <f t="shared" si="44"/>
        <v>4385.9000000000015</v>
      </c>
      <c r="O101" s="53">
        <f>M101+4385.9</f>
        <v>63021.200000000004</v>
      </c>
      <c r="P101" s="63">
        <f t="shared" si="45"/>
        <v>0</v>
      </c>
      <c r="Q101" s="53">
        <f>O101</f>
        <v>63021.200000000004</v>
      </c>
      <c r="R101" s="63">
        <f t="shared" si="46"/>
        <v>49283.69999999999</v>
      </c>
      <c r="S101" s="63">
        <f t="shared" si="47"/>
        <v>112304.9</v>
      </c>
      <c r="T101" s="53">
        <f>Q101+49283.7</f>
        <v>112304.9</v>
      </c>
      <c r="V101" s="47"/>
      <c r="W101" s="48"/>
    </row>
    <row r="102" spans="1:23" s="49" customFormat="1" ht="15.75" x14ac:dyDescent="0.25">
      <c r="A102" s="44" t="s">
        <v>365</v>
      </c>
      <c r="B102" s="50" t="s">
        <v>366</v>
      </c>
      <c r="C102" s="53">
        <v>0</v>
      </c>
      <c r="D102" s="63">
        <f t="shared" si="39"/>
        <v>0</v>
      </c>
      <c r="E102" s="53">
        <v>0</v>
      </c>
      <c r="F102" s="63">
        <f t="shared" si="40"/>
        <v>0</v>
      </c>
      <c r="G102" s="53">
        <f t="shared" ref="G102:T102" si="62">G103</f>
        <v>0</v>
      </c>
      <c r="H102" s="63">
        <f t="shared" si="41"/>
        <v>0</v>
      </c>
      <c r="I102" s="53">
        <f t="shared" si="62"/>
        <v>0</v>
      </c>
      <c r="J102" s="63">
        <f t="shared" si="42"/>
        <v>0</v>
      </c>
      <c r="K102" s="53">
        <f t="shared" si="62"/>
        <v>0</v>
      </c>
      <c r="L102" s="63">
        <f t="shared" si="43"/>
        <v>20000</v>
      </c>
      <c r="M102" s="53">
        <f>M103</f>
        <v>20000</v>
      </c>
      <c r="N102" s="63">
        <f t="shared" si="44"/>
        <v>-20000</v>
      </c>
      <c r="O102" s="53">
        <f>O103</f>
        <v>0</v>
      </c>
      <c r="P102" s="63">
        <f t="shared" si="45"/>
        <v>0</v>
      </c>
      <c r="Q102" s="53">
        <f t="shared" si="62"/>
        <v>0</v>
      </c>
      <c r="R102" s="63">
        <f t="shared" si="46"/>
        <v>7356.1196</v>
      </c>
      <c r="S102" s="63">
        <f t="shared" si="47"/>
        <v>7356.1196</v>
      </c>
      <c r="T102" s="53">
        <f t="shared" si="62"/>
        <v>7356.1196</v>
      </c>
      <c r="V102" s="47"/>
      <c r="W102" s="48"/>
    </row>
    <row r="103" spans="1:23" s="49" customFormat="1" ht="15.75" x14ac:dyDescent="0.25">
      <c r="A103" s="44" t="s">
        <v>367</v>
      </c>
      <c r="B103" s="50" t="s">
        <v>368</v>
      </c>
      <c r="C103" s="53">
        <v>0</v>
      </c>
      <c r="D103" s="63">
        <f t="shared" si="39"/>
        <v>0</v>
      </c>
      <c r="E103" s="53">
        <v>0</v>
      </c>
      <c r="F103" s="63">
        <f t="shared" si="40"/>
        <v>0</v>
      </c>
      <c r="G103" s="53">
        <v>0</v>
      </c>
      <c r="H103" s="63">
        <f t="shared" si="41"/>
        <v>0</v>
      </c>
      <c r="I103" s="53">
        <v>0</v>
      </c>
      <c r="J103" s="63">
        <f t="shared" si="42"/>
        <v>0</v>
      </c>
      <c r="K103" s="53">
        <v>0</v>
      </c>
      <c r="L103" s="63">
        <f t="shared" si="43"/>
        <v>20000</v>
      </c>
      <c r="M103" s="53">
        <v>20000</v>
      </c>
      <c r="N103" s="63">
        <f t="shared" si="44"/>
        <v>-20000</v>
      </c>
      <c r="O103" s="53">
        <f>M103-20000</f>
        <v>0</v>
      </c>
      <c r="P103" s="63">
        <f t="shared" si="45"/>
        <v>0</v>
      </c>
      <c r="Q103" s="53">
        <f>O103</f>
        <v>0</v>
      </c>
      <c r="R103" s="63">
        <f t="shared" si="46"/>
        <v>7356.1196</v>
      </c>
      <c r="S103" s="63">
        <f t="shared" si="47"/>
        <v>7356.1196</v>
      </c>
      <c r="T103" s="53">
        <v>7356.1196</v>
      </c>
      <c r="V103" s="47"/>
      <c r="W103" s="48"/>
    </row>
    <row r="104" spans="1:23" s="46" customFormat="1" ht="27" customHeight="1" x14ac:dyDescent="0.25">
      <c r="A104" s="64" t="s">
        <v>175</v>
      </c>
      <c r="B104" s="65" t="s">
        <v>174</v>
      </c>
      <c r="C104" s="62">
        <f>C107+C109+C113+C119+C121+C105+C111</f>
        <v>144662.73874999999</v>
      </c>
      <c r="D104" s="59">
        <f t="shared" si="39"/>
        <v>138393.23095000003</v>
      </c>
      <c r="E104" s="62">
        <f>E107+E109+E113+E119+E121+E105+E111</f>
        <v>283055.96970000002</v>
      </c>
      <c r="F104" s="59">
        <f t="shared" si="40"/>
        <v>23876.348209999967</v>
      </c>
      <c r="G104" s="62">
        <f>G107+G109+G113+G119+G121+G105+G111</f>
        <v>306932.31790999998</v>
      </c>
      <c r="H104" s="59">
        <f t="shared" si="41"/>
        <v>0</v>
      </c>
      <c r="I104" s="62">
        <f>I107+I109+I113+I119+I121+I105+I111</f>
        <v>306932.31790999998</v>
      </c>
      <c r="J104" s="59">
        <f t="shared" si="42"/>
        <v>-151.84224999998696</v>
      </c>
      <c r="K104" s="62">
        <f>K107+K109+K113+K119+K121+K105+K111+K117</f>
        <v>306780.47566</v>
      </c>
      <c r="L104" s="59">
        <f t="shared" si="43"/>
        <v>6465.2946000000229</v>
      </c>
      <c r="M104" s="62">
        <f>M107+M109+M113+M119+M121+M105+M111+M117+M115</f>
        <v>313245.77026000002</v>
      </c>
      <c r="N104" s="59">
        <f t="shared" si="44"/>
        <v>121521.90000000002</v>
      </c>
      <c r="O104" s="62">
        <f>O107+O109+O113+O119+O121+O105+O111+O117+O115+O146</f>
        <v>434767.67026000004</v>
      </c>
      <c r="P104" s="59">
        <f t="shared" si="45"/>
        <v>-7221.3470100000268</v>
      </c>
      <c r="Q104" s="62">
        <f>Q107+Q109+Q113+Q119+Q121+Q105+Q111+Q117+Q146</f>
        <v>427546.32325000002</v>
      </c>
      <c r="R104" s="59">
        <f t="shared" si="46"/>
        <v>-131127.50885000004</v>
      </c>
      <c r="S104" s="59">
        <f t="shared" si="47"/>
        <v>151756.07564999996</v>
      </c>
      <c r="T104" s="62">
        <f>T105+T107+T109+T111+T113+T117+T119+T121</f>
        <v>296418.81439999997</v>
      </c>
      <c r="V104" s="48"/>
      <c r="W104" s="48"/>
    </row>
    <row r="105" spans="1:23" s="49" customFormat="1" ht="84" x14ac:dyDescent="0.25">
      <c r="A105" s="44" t="s">
        <v>369</v>
      </c>
      <c r="B105" s="50" t="s">
        <v>370</v>
      </c>
      <c r="C105" s="51">
        <f t="shared" ref="C105:Q105" si="63">C106</f>
        <v>0</v>
      </c>
      <c r="D105" s="63">
        <f t="shared" si="39"/>
        <v>2072.41959</v>
      </c>
      <c r="E105" s="51">
        <f t="shared" si="63"/>
        <v>2072.41959</v>
      </c>
      <c r="F105" s="63">
        <f t="shared" si="40"/>
        <v>0</v>
      </c>
      <c r="G105" s="51">
        <f t="shared" si="63"/>
        <v>2072.41959</v>
      </c>
      <c r="H105" s="63">
        <f t="shared" si="41"/>
        <v>0</v>
      </c>
      <c r="I105" s="51">
        <f t="shared" si="63"/>
        <v>2072.41959</v>
      </c>
      <c r="J105" s="63">
        <f t="shared" si="42"/>
        <v>0</v>
      </c>
      <c r="K105" s="51">
        <f t="shared" si="63"/>
        <v>2072.41959</v>
      </c>
      <c r="L105" s="63">
        <f t="shared" si="43"/>
        <v>0</v>
      </c>
      <c r="M105" s="51">
        <f t="shared" si="63"/>
        <v>2072.41959</v>
      </c>
      <c r="N105" s="63">
        <f t="shared" si="44"/>
        <v>0</v>
      </c>
      <c r="O105" s="51">
        <f t="shared" si="63"/>
        <v>2072.41959</v>
      </c>
      <c r="P105" s="63">
        <f t="shared" si="45"/>
        <v>0</v>
      </c>
      <c r="Q105" s="51">
        <f t="shared" si="63"/>
        <v>2072.41959</v>
      </c>
      <c r="R105" s="63">
        <f t="shared" si="46"/>
        <v>0</v>
      </c>
      <c r="S105" s="63">
        <f t="shared" si="47"/>
        <v>2072.41959</v>
      </c>
      <c r="T105" s="51">
        <f>T106</f>
        <v>2072.41959</v>
      </c>
      <c r="V105" s="47"/>
      <c r="W105" s="48"/>
    </row>
    <row r="106" spans="1:23" s="49" customFormat="1" ht="84" x14ac:dyDescent="0.25">
      <c r="A106" s="44" t="s">
        <v>371</v>
      </c>
      <c r="B106" s="50" t="s">
        <v>372</v>
      </c>
      <c r="C106" s="51"/>
      <c r="D106" s="63">
        <f t="shared" si="39"/>
        <v>2072.41959</v>
      </c>
      <c r="E106" s="51">
        <v>2072.41959</v>
      </c>
      <c r="F106" s="63">
        <f t="shared" si="40"/>
        <v>0</v>
      </c>
      <c r="G106" s="51">
        <f>E106</f>
        <v>2072.41959</v>
      </c>
      <c r="H106" s="63">
        <f t="shared" si="41"/>
        <v>0</v>
      </c>
      <c r="I106" s="51">
        <f>G106</f>
        <v>2072.41959</v>
      </c>
      <c r="J106" s="63">
        <f t="shared" si="42"/>
        <v>0</v>
      </c>
      <c r="K106" s="51">
        <f>I106</f>
        <v>2072.41959</v>
      </c>
      <c r="L106" s="63">
        <f t="shared" si="43"/>
        <v>0</v>
      </c>
      <c r="M106" s="51">
        <f>K106</f>
        <v>2072.41959</v>
      </c>
      <c r="N106" s="63">
        <f t="shared" si="44"/>
        <v>0</v>
      </c>
      <c r="O106" s="51">
        <f>M106</f>
        <v>2072.41959</v>
      </c>
      <c r="P106" s="63">
        <f t="shared" si="45"/>
        <v>0</v>
      </c>
      <c r="Q106" s="51">
        <f>O106</f>
        <v>2072.41959</v>
      </c>
      <c r="R106" s="63">
        <f t="shared" si="46"/>
        <v>0</v>
      </c>
      <c r="S106" s="63">
        <f t="shared" si="47"/>
        <v>2072.41959</v>
      </c>
      <c r="T106" s="51">
        <f t="shared" ref="T106" si="64">Q106</f>
        <v>2072.41959</v>
      </c>
      <c r="V106" s="47"/>
      <c r="W106" s="48"/>
    </row>
    <row r="107" spans="1:23" s="49" customFormat="1" ht="72" x14ac:dyDescent="0.25">
      <c r="A107" s="44" t="s">
        <v>373</v>
      </c>
      <c r="B107" s="50" t="s">
        <v>374</v>
      </c>
      <c r="C107" s="51">
        <f t="shared" ref="C107:Q107" si="65">C108</f>
        <v>0</v>
      </c>
      <c r="D107" s="63">
        <f t="shared" si="39"/>
        <v>362.26150999999999</v>
      </c>
      <c r="E107" s="51">
        <f t="shared" si="65"/>
        <v>362.26150999999999</v>
      </c>
      <c r="F107" s="63">
        <f t="shared" si="40"/>
        <v>0</v>
      </c>
      <c r="G107" s="51">
        <f t="shared" si="65"/>
        <v>362.26150999999999</v>
      </c>
      <c r="H107" s="63">
        <f t="shared" si="41"/>
        <v>0</v>
      </c>
      <c r="I107" s="51">
        <f t="shared" si="65"/>
        <v>362.26150999999999</v>
      </c>
      <c r="J107" s="63">
        <f t="shared" si="42"/>
        <v>0</v>
      </c>
      <c r="K107" s="51">
        <f t="shared" si="65"/>
        <v>362.26150999999999</v>
      </c>
      <c r="L107" s="63">
        <f t="shared" si="43"/>
        <v>0</v>
      </c>
      <c r="M107" s="51">
        <f t="shared" si="65"/>
        <v>362.26150999999999</v>
      </c>
      <c r="N107" s="63">
        <f t="shared" si="44"/>
        <v>0</v>
      </c>
      <c r="O107" s="51">
        <f t="shared" si="65"/>
        <v>362.26150999999999</v>
      </c>
      <c r="P107" s="63">
        <f t="shared" si="45"/>
        <v>0</v>
      </c>
      <c r="Q107" s="51">
        <f t="shared" si="65"/>
        <v>362.26150999999999</v>
      </c>
      <c r="R107" s="63">
        <f t="shared" si="46"/>
        <v>-5.6090399999999931</v>
      </c>
      <c r="S107" s="63">
        <f t="shared" si="47"/>
        <v>356.65246999999999</v>
      </c>
      <c r="T107" s="51">
        <f>T108</f>
        <v>356.65246999999999</v>
      </c>
      <c r="V107" s="47"/>
      <c r="W107" s="48"/>
    </row>
    <row r="108" spans="1:23" s="49" customFormat="1" ht="72" x14ac:dyDescent="0.25">
      <c r="A108" s="44" t="s">
        <v>375</v>
      </c>
      <c r="B108" s="50" t="s">
        <v>376</v>
      </c>
      <c r="C108" s="51">
        <v>0</v>
      </c>
      <c r="D108" s="63">
        <f t="shared" si="39"/>
        <v>362.26150999999999</v>
      </c>
      <c r="E108" s="51">
        <v>362.26150999999999</v>
      </c>
      <c r="F108" s="63">
        <f t="shared" si="40"/>
        <v>0</v>
      </c>
      <c r="G108" s="51">
        <f>E108</f>
        <v>362.26150999999999</v>
      </c>
      <c r="H108" s="63">
        <f t="shared" si="41"/>
        <v>0</v>
      </c>
      <c r="I108" s="51">
        <f>G108</f>
        <v>362.26150999999999</v>
      </c>
      <c r="J108" s="63">
        <f t="shared" si="42"/>
        <v>0</v>
      </c>
      <c r="K108" s="51">
        <f>I108</f>
        <v>362.26150999999999</v>
      </c>
      <c r="L108" s="63">
        <f t="shared" si="43"/>
        <v>0</v>
      </c>
      <c r="M108" s="51">
        <f>K108</f>
        <v>362.26150999999999</v>
      </c>
      <c r="N108" s="63">
        <f t="shared" si="44"/>
        <v>0</v>
      </c>
      <c r="O108" s="51">
        <f>M108</f>
        <v>362.26150999999999</v>
      </c>
      <c r="P108" s="63">
        <f t="shared" si="45"/>
        <v>0</v>
      </c>
      <c r="Q108" s="51">
        <f t="shared" ref="Q108" si="66">O108</f>
        <v>362.26150999999999</v>
      </c>
      <c r="R108" s="63">
        <f t="shared" si="46"/>
        <v>-5.6090399999999931</v>
      </c>
      <c r="S108" s="63">
        <f t="shared" si="47"/>
        <v>356.65246999999999</v>
      </c>
      <c r="T108" s="51">
        <f>Q108-5.60904</f>
        <v>356.65246999999999</v>
      </c>
      <c r="V108" s="47"/>
      <c r="W108" s="48"/>
    </row>
    <row r="109" spans="1:23" s="49" customFormat="1" ht="24" x14ac:dyDescent="0.25">
      <c r="A109" s="66" t="s">
        <v>224</v>
      </c>
      <c r="B109" s="54" t="s">
        <v>226</v>
      </c>
      <c r="C109" s="55">
        <f t="shared" ref="C109:T109" si="67">C110</f>
        <v>0</v>
      </c>
      <c r="D109" s="63">
        <f t="shared" si="39"/>
        <v>0</v>
      </c>
      <c r="E109" s="55">
        <f t="shared" si="67"/>
        <v>0</v>
      </c>
      <c r="F109" s="63">
        <f t="shared" si="40"/>
        <v>0</v>
      </c>
      <c r="G109" s="55">
        <f t="shared" si="67"/>
        <v>0</v>
      </c>
      <c r="H109" s="63">
        <f t="shared" si="41"/>
        <v>0</v>
      </c>
      <c r="I109" s="55">
        <f t="shared" si="67"/>
        <v>0</v>
      </c>
      <c r="J109" s="63">
        <f t="shared" si="42"/>
        <v>0</v>
      </c>
      <c r="K109" s="55">
        <f t="shared" si="67"/>
        <v>0</v>
      </c>
      <c r="L109" s="63">
        <f t="shared" si="43"/>
        <v>0</v>
      </c>
      <c r="M109" s="55">
        <f t="shared" si="67"/>
        <v>0</v>
      </c>
      <c r="N109" s="63">
        <f t="shared" si="44"/>
        <v>0</v>
      </c>
      <c r="O109" s="55"/>
      <c r="P109" s="63">
        <f t="shared" si="45"/>
        <v>0</v>
      </c>
      <c r="Q109" s="55">
        <f t="shared" si="67"/>
        <v>0</v>
      </c>
      <c r="R109" s="63">
        <f t="shared" si="46"/>
        <v>0</v>
      </c>
      <c r="S109" s="63">
        <f t="shared" si="47"/>
        <v>0</v>
      </c>
      <c r="T109" s="55">
        <f t="shared" si="67"/>
        <v>0</v>
      </c>
      <c r="V109" s="47"/>
      <c r="W109" s="48"/>
    </row>
    <row r="110" spans="1:23" s="49" customFormat="1" ht="36" x14ac:dyDescent="0.25">
      <c r="A110" s="66" t="s">
        <v>223</v>
      </c>
      <c r="B110" s="54" t="s">
        <v>225</v>
      </c>
      <c r="C110" s="55"/>
      <c r="D110" s="63">
        <f t="shared" si="39"/>
        <v>0</v>
      </c>
      <c r="E110" s="55"/>
      <c r="F110" s="63">
        <f t="shared" si="40"/>
        <v>0</v>
      </c>
      <c r="G110" s="55"/>
      <c r="H110" s="63">
        <f t="shared" si="41"/>
        <v>0</v>
      </c>
      <c r="I110" s="55"/>
      <c r="J110" s="63">
        <f t="shared" si="42"/>
        <v>0</v>
      </c>
      <c r="K110" s="55"/>
      <c r="L110" s="63">
        <f t="shared" si="43"/>
        <v>0</v>
      </c>
      <c r="M110" s="55"/>
      <c r="N110" s="63">
        <f t="shared" si="44"/>
        <v>0</v>
      </c>
      <c r="O110" s="55"/>
      <c r="P110" s="63">
        <f t="shared" si="45"/>
        <v>0</v>
      </c>
      <c r="Q110" s="55"/>
      <c r="R110" s="63">
        <f t="shared" si="46"/>
        <v>0</v>
      </c>
      <c r="S110" s="63">
        <f t="shared" si="47"/>
        <v>0</v>
      </c>
      <c r="T110" s="55"/>
      <c r="V110" s="47"/>
      <c r="W110" s="48"/>
    </row>
    <row r="111" spans="1:23" s="49" customFormat="1" ht="38.25" customHeight="1" x14ac:dyDescent="0.25">
      <c r="A111" s="66" t="s">
        <v>377</v>
      </c>
      <c r="B111" s="54" t="s">
        <v>378</v>
      </c>
      <c r="C111" s="55">
        <f t="shared" ref="C111:Q111" si="68">C112</f>
        <v>0</v>
      </c>
      <c r="D111" s="63">
        <f t="shared" si="39"/>
        <v>0</v>
      </c>
      <c r="E111" s="55">
        <f t="shared" si="68"/>
        <v>0</v>
      </c>
      <c r="F111" s="63">
        <f t="shared" si="40"/>
        <v>0</v>
      </c>
      <c r="G111" s="55">
        <f t="shared" si="68"/>
        <v>0</v>
      </c>
      <c r="H111" s="63">
        <f t="shared" si="41"/>
        <v>0</v>
      </c>
      <c r="I111" s="55">
        <f t="shared" si="68"/>
        <v>0</v>
      </c>
      <c r="J111" s="63">
        <f t="shared" si="42"/>
        <v>0</v>
      </c>
      <c r="K111" s="55">
        <f t="shared" si="68"/>
        <v>0</v>
      </c>
      <c r="L111" s="63">
        <f t="shared" si="43"/>
        <v>0</v>
      </c>
      <c r="M111" s="55">
        <f t="shared" si="68"/>
        <v>0</v>
      </c>
      <c r="N111" s="63">
        <f t="shared" si="44"/>
        <v>0</v>
      </c>
      <c r="O111" s="55">
        <v>0</v>
      </c>
      <c r="P111" s="63">
        <f t="shared" si="45"/>
        <v>0</v>
      </c>
      <c r="Q111" s="55">
        <f t="shared" si="68"/>
        <v>0</v>
      </c>
      <c r="R111" s="63">
        <f t="shared" si="46"/>
        <v>0</v>
      </c>
      <c r="S111" s="63">
        <f t="shared" si="47"/>
        <v>0</v>
      </c>
      <c r="T111" s="55">
        <v>0</v>
      </c>
      <c r="V111" s="47"/>
      <c r="W111" s="48"/>
    </row>
    <row r="112" spans="1:23" s="49" customFormat="1" ht="39.75" customHeight="1" x14ac:dyDescent="0.25">
      <c r="A112" s="66" t="s">
        <v>379</v>
      </c>
      <c r="B112" s="54" t="s">
        <v>380</v>
      </c>
      <c r="C112" s="55"/>
      <c r="D112" s="63">
        <f t="shared" si="39"/>
        <v>0</v>
      </c>
      <c r="E112" s="55"/>
      <c r="F112" s="63">
        <f t="shared" si="40"/>
        <v>0</v>
      </c>
      <c r="G112" s="55"/>
      <c r="H112" s="63">
        <f t="shared" si="41"/>
        <v>0</v>
      </c>
      <c r="I112" s="55"/>
      <c r="J112" s="63">
        <f t="shared" si="42"/>
        <v>0</v>
      </c>
      <c r="K112" s="55"/>
      <c r="L112" s="63">
        <f t="shared" si="43"/>
        <v>0</v>
      </c>
      <c r="M112" s="55"/>
      <c r="N112" s="63">
        <f t="shared" si="44"/>
        <v>0</v>
      </c>
      <c r="O112" s="55"/>
      <c r="P112" s="63">
        <f t="shared" si="45"/>
        <v>0</v>
      </c>
      <c r="Q112" s="55"/>
      <c r="R112" s="63">
        <f t="shared" si="46"/>
        <v>0</v>
      </c>
      <c r="S112" s="63">
        <f t="shared" si="47"/>
        <v>0</v>
      </c>
      <c r="T112" s="55"/>
      <c r="V112" s="47"/>
      <c r="W112" s="48"/>
    </row>
    <row r="113" spans="1:23" s="49" customFormat="1" ht="24" x14ac:dyDescent="0.25">
      <c r="A113" s="44" t="s">
        <v>177</v>
      </c>
      <c r="B113" s="50" t="s">
        <v>176</v>
      </c>
      <c r="C113" s="51">
        <f t="shared" ref="C113:T113" si="69">C114</f>
        <v>2131.1722100000002</v>
      </c>
      <c r="D113" s="63">
        <f t="shared" si="39"/>
        <v>679.10278999999991</v>
      </c>
      <c r="E113" s="51">
        <f t="shared" si="69"/>
        <v>2810.2750000000001</v>
      </c>
      <c r="F113" s="63">
        <f t="shared" si="40"/>
        <v>0</v>
      </c>
      <c r="G113" s="51">
        <f t="shared" si="69"/>
        <v>2810.2750000000001</v>
      </c>
      <c r="H113" s="63">
        <f t="shared" si="41"/>
        <v>0</v>
      </c>
      <c r="I113" s="51">
        <f t="shared" si="69"/>
        <v>2810.2750000000001</v>
      </c>
      <c r="J113" s="63">
        <f t="shared" si="42"/>
        <v>0</v>
      </c>
      <c r="K113" s="51">
        <f t="shared" si="69"/>
        <v>2810.2750000000001</v>
      </c>
      <c r="L113" s="63">
        <f t="shared" si="43"/>
        <v>0</v>
      </c>
      <c r="M113" s="51">
        <f t="shared" si="69"/>
        <v>2810.2750000000001</v>
      </c>
      <c r="N113" s="63">
        <f t="shared" si="44"/>
        <v>0</v>
      </c>
      <c r="O113" s="51">
        <f t="shared" si="69"/>
        <v>2810.2750000000001</v>
      </c>
      <c r="P113" s="63">
        <f t="shared" si="45"/>
        <v>0</v>
      </c>
      <c r="Q113" s="51">
        <f t="shared" si="69"/>
        <v>2810.2750000000001</v>
      </c>
      <c r="R113" s="63">
        <f t="shared" si="46"/>
        <v>0</v>
      </c>
      <c r="S113" s="63">
        <f t="shared" si="47"/>
        <v>679.10278999999991</v>
      </c>
      <c r="T113" s="51">
        <f t="shared" si="69"/>
        <v>2810.2750000000001</v>
      </c>
      <c r="V113" s="47"/>
      <c r="W113" s="48"/>
    </row>
    <row r="114" spans="1:23" s="49" customFormat="1" ht="24" x14ac:dyDescent="0.25">
      <c r="A114" s="44" t="s">
        <v>179</v>
      </c>
      <c r="B114" s="50" t="s">
        <v>178</v>
      </c>
      <c r="C114" s="51">
        <v>2131.1722100000002</v>
      </c>
      <c r="D114" s="63">
        <f t="shared" si="39"/>
        <v>679.10278999999991</v>
      </c>
      <c r="E114" s="51">
        <f>C114+679.10279</f>
        <v>2810.2750000000001</v>
      </c>
      <c r="F114" s="63">
        <f t="shared" si="40"/>
        <v>0</v>
      </c>
      <c r="G114" s="51">
        <f>E114</f>
        <v>2810.2750000000001</v>
      </c>
      <c r="H114" s="63">
        <f t="shared" si="41"/>
        <v>0</v>
      </c>
      <c r="I114" s="51">
        <f>G114</f>
        <v>2810.2750000000001</v>
      </c>
      <c r="J114" s="63">
        <f t="shared" si="42"/>
        <v>0</v>
      </c>
      <c r="K114" s="51">
        <f>I114</f>
        <v>2810.2750000000001</v>
      </c>
      <c r="L114" s="63">
        <f t="shared" si="43"/>
        <v>0</v>
      </c>
      <c r="M114" s="51">
        <f>K114</f>
        <v>2810.2750000000001</v>
      </c>
      <c r="N114" s="63">
        <f t="shared" si="44"/>
        <v>0</v>
      </c>
      <c r="O114" s="51">
        <f>M114</f>
        <v>2810.2750000000001</v>
      </c>
      <c r="P114" s="63">
        <f t="shared" si="45"/>
        <v>0</v>
      </c>
      <c r="Q114" s="51">
        <f>O114</f>
        <v>2810.2750000000001</v>
      </c>
      <c r="R114" s="63">
        <f t="shared" si="46"/>
        <v>0</v>
      </c>
      <c r="S114" s="63">
        <f t="shared" si="47"/>
        <v>679.10278999999991</v>
      </c>
      <c r="T114" s="51">
        <f t="shared" ref="T114" si="70">Q114</f>
        <v>2810.2750000000001</v>
      </c>
      <c r="V114" s="47"/>
      <c r="W114" s="48"/>
    </row>
    <row r="115" spans="1:23" s="49" customFormat="1" ht="29.25" customHeight="1" x14ac:dyDescent="0.25">
      <c r="A115" s="44" t="s">
        <v>381</v>
      </c>
      <c r="B115" s="50" t="s">
        <v>382</v>
      </c>
      <c r="C115" s="51"/>
      <c r="D115" s="63">
        <f t="shared" si="39"/>
        <v>0</v>
      </c>
      <c r="E115" s="51"/>
      <c r="F115" s="63">
        <f t="shared" si="40"/>
        <v>0</v>
      </c>
      <c r="G115" s="51"/>
      <c r="H115" s="63">
        <f t="shared" si="41"/>
        <v>0</v>
      </c>
      <c r="I115" s="51"/>
      <c r="J115" s="63">
        <f t="shared" si="42"/>
        <v>0</v>
      </c>
      <c r="K115" s="51"/>
      <c r="L115" s="63">
        <f t="shared" si="43"/>
        <v>7577.4459999999999</v>
      </c>
      <c r="M115" s="51">
        <f>M116</f>
        <v>7577.4459999999999</v>
      </c>
      <c r="N115" s="63">
        <f t="shared" si="44"/>
        <v>-7577.4459999999999</v>
      </c>
      <c r="O115" s="51">
        <f>O116</f>
        <v>0</v>
      </c>
      <c r="P115" s="63">
        <f t="shared" si="45"/>
        <v>0</v>
      </c>
      <c r="Q115" s="51">
        <v>0</v>
      </c>
      <c r="R115" s="63">
        <f t="shared" si="46"/>
        <v>0</v>
      </c>
      <c r="S115" s="63">
        <f t="shared" si="47"/>
        <v>0</v>
      </c>
      <c r="T115" s="51">
        <v>0</v>
      </c>
      <c r="V115" s="47"/>
      <c r="W115" s="48"/>
    </row>
    <row r="116" spans="1:23" s="49" customFormat="1" ht="27" customHeight="1" x14ac:dyDescent="0.25">
      <c r="A116" s="44" t="s">
        <v>383</v>
      </c>
      <c r="B116" s="50" t="s">
        <v>384</v>
      </c>
      <c r="C116" s="51"/>
      <c r="D116" s="63">
        <f t="shared" si="39"/>
        <v>0</v>
      </c>
      <c r="E116" s="51"/>
      <c r="F116" s="63">
        <f t="shared" si="40"/>
        <v>0</v>
      </c>
      <c r="G116" s="51"/>
      <c r="H116" s="63">
        <f t="shared" si="41"/>
        <v>0</v>
      </c>
      <c r="I116" s="51"/>
      <c r="J116" s="63">
        <f t="shared" si="42"/>
        <v>0</v>
      </c>
      <c r="K116" s="51"/>
      <c r="L116" s="63">
        <f t="shared" si="43"/>
        <v>7577.4459999999999</v>
      </c>
      <c r="M116" s="51">
        <v>7577.4459999999999</v>
      </c>
      <c r="N116" s="63">
        <f t="shared" si="44"/>
        <v>-7577.4459999999999</v>
      </c>
      <c r="O116" s="51">
        <f>M116-7577.446</f>
        <v>0</v>
      </c>
      <c r="P116" s="63">
        <f t="shared" si="45"/>
        <v>0</v>
      </c>
      <c r="Q116" s="51">
        <v>0</v>
      </c>
      <c r="R116" s="63">
        <f t="shared" si="46"/>
        <v>0</v>
      </c>
      <c r="S116" s="63">
        <f t="shared" si="47"/>
        <v>0</v>
      </c>
      <c r="T116" s="51">
        <v>0</v>
      </c>
      <c r="V116" s="47"/>
      <c r="W116" s="48"/>
    </row>
    <row r="117" spans="1:23" s="49" customFormat="1" ht="15.75" x14ac:dyDescent="0.25">
      <c r="A117" s="44" t="s">
        <v>181</v>
      </c>
      <c r="B117" s="50" t="s">
        <v>180</v>
      </c>
      <c r="C117" s="51">
        <v>0</v>
      </c>
      <c r="D117" s="63">
        <f t="shared" si="39"/>
        <v>0</v>
      </c>
      <c r="E117" s="51">
        <v>0</v>
      </c>
      <c r="F117" s="63">
        <f t="shared" si="40"/>
        <v>0</v>
      </c>
      <c r="G117" s="51">
        <v>0</v>
      </c>
      <c r="H117" s="63">
        <f t="shared" si="41"/>
        <v>0</v>
      </c>
      <c r="I117" s="51">
        <v>0</v>
      </c>
      <c r="J117" s="63">
        <f t="shared" si="42"/>
        <v>0</v>
      </c>
      <c r="K117" s="51">
        <f>K118</f>
        <v>0</v>
      </c>
      <c r="L117" s="63">
        <f t="shared" si="43"/>
        <v>0</v>
      </c>
      <c r="M117" s="51">
        <f>K117</f>
        <v>0</v>
      </c>
      <c r="N117" s="63">
        <f t="shared" si="44"/>
        <v>0</v>
      </c>
      <c r="O117" s="51">
        <f>M117</f>
        <v>0</v>
      </c>
      <c r="P117" s="63">
        <f t="shared" si="45"/>
        <v>0</v>
      </c>
      <c r="Q117" s="51">
        <f>Q118</f>
        <v>0</v>
      </c>
      <c r="R117" s="63">
        <f t="shared" si="46"/>
        <v>0</v>
      </c>
      <c r="S117" s="63">
        <f t="shared" si="47"/>
        <v>0</v>
      </c>
      <c r="T117" s="51">
        <f>T118</f>
        <v>0</v>
      </c>
      <c r="V117" s="47"/>
      <c r="W117" s="48"/>
    </row>
    <row r="118" spans="1:23" s="49" customFormat="1" ht="24" x14ac:dyDescent="0.25">
      <c r="A118" s="44" t="s">
        <v>183</v>
      </c>
      <c r="B118" s="50" t="s">
        <v>182</v>
      </c>
      <c r="C118" s="51">
        <v>0</v>
      </c>
      <c r="D118" s="63">
        <f t="shared" si="39"/>
        <v>0</v>
      </c>
      <c r="E118" s="51">
        <v>0</v>
      </c>
      <c r="F118" s="63">
        <f t="shared" si="40"/>
        <v>0</v>
      </c>
      <c r="G118" s="51">
        <v>0</v>
      </c>
      <c r="H118" s="63">
        <f t="shared" si="41"/>
        <v>0</v>
      </c>
      <c r="I118" s="51">
        <v>0</v>
      </c>
      <c r="J118" s="63">
        <f t="shared" si="42"/>
        <v>0</v>
      </c>
      <c r="K118" s="51">
        <v>0</v>
      </c>
      <c r="L118" s="63">
        <f t="shared" si="43"/>
        <v>0</v>
      </c>
      <c r="M118" s="51">
        <f>K118</f>
        <v>0</v>
      </c>
      <c r="N118" s="63">
        <f t="shared" si="44"/>
        <v>0</v>
      </c>
      <c r="O118" s="51">
        <v>0</v>
      </c>
      <c r="P118" s="63">
        <f t="shared" si="45"/>
        <v>0</v>
      </c>
      <c r="Q118" s="51">
        <v>0</v>
      </c>
      <c r="R118" s="63">
        <f t="shared" si="46"/>
        <v>0</v>
      </c>
      <c r="S118" s="63">
        <f t="shared" si="47"/>
        <v>0</v>
      </c>
      <c r="T118" s="51">
        <v>0</v>
      </c>
      <c r="V118" s="47"/>
      <c r="W118" s="48"/>
    </row>
    <row r="119" spans="1:23" s="49" customFormat="1" ht="24" x14ac:dyDescent="0.25">
      <c r="A119" s="44" t="s">
        <v>185</v>
      </c>
      <c r="B119" s="50" t="s">
        <v>184</v>
      </c>
      <c r="C119" s="53">
        <f t="shared" ref="C119:T119" si="71">C120</f>
        <v>32423.195</v>
      </c>
      <c r="D119" s="63">
        <f t="shared" si="39"/>
        <v>0</v>
      </c>
      <c r="E119" s="53">
        <f t="shared" si="71"/>
        <v>32423.195</v>
      </c>
      <c r="F119" s="63">
        <f t="shared" si="40"/>
        <v>0</v>
      </c>
      <c r="G119" s="53">
        <f t="shared" si="71"/>
        <v>32423.195</v>
      </c>
      <c r="H119" s="63">
        <f t="shared" si="41"/>
        <v>0</v>
      </c>
      <c r="I119" s="53">
        <f t="shared" si="71"/>
        <v>32423.195</v>
      </c>
      <c r="J119" s="63">
        <f t="shared" si="42"/>
        <v>0</v>
      </c>
      <c r="K119" s="53">
        <f t="shared" si="71"/>
        <v>32423.195</v>
      </c>
      <c r="L119" s="63">
        <f t="shared" si="43"/>
        <v>0</v>
      </c>
      <c r="M119" s="53">
        <f t="shared" si="71"/>
        <v>32423.195</v>
      </c>
      <c r="N119" s="63">
        <f t="shared" si="44"/>
        <v>0</v>
      </c>
      <c r="O119" s="53">
        <f t="shared" si="71"/>
        <v>32423.195</v>
      </c>
      <c r="P119" s="63">
        <f t="shared" si="45"/>
        <v>0</v>
      </c>
      <c r="Q119" s="53">
        <f t="shared" si="71"/>
        <v>32423.195</v>
      </c>
      <c r="R119" s="63">
        <f t="shared" si="46"/>
        <v>0</v>
      </c>
      <c r="S119" s="63">
        <f t="shared" si="47"/>
        <v>0</v>
      </c>
      <c r="T119" s="53">
        <f t="shared" si="71"/>
        <v>32423.195</v>
      </c>
      <c r="V119" s="47"/>
      <c r="W119" s="48"/>
    </row>
    <row r="120" spans="1:23" s="49" customFormat="1" ht="24" x14ac:dyDescent="0.25">
      <c r="A120" s="44" t="s">
        <v>187</v>
      </c>
      <c r="B120" s="50" t="s">
        <v>186</v>
      </c>
      <c r="C120" s="53">
        <v>32423.195</v>
      </c>
      <c r="D120" s="63">
        <f t="shared" si="39"/>
        <v>0</v>
      </c>
      <c r="E120" s="53">
        <f>C120</f>
        <v>32423.195</v>
      </c>
      <c r="F120" s="63">
        <f t="shared" si="40"/>
        <v>0</v>
      </c>
      <c r="G120" s="53">
        <f>E120</f>
        <v>32423.195</v>
      </c>
      <c r="H120" s="63">
        <f t="shared" si="41"/>
        <v>0</v>
      </c>
      <c r="I120" s="53">
        <f>G120</f>
        <v>32423.195</v>
      </c>
      <c r="J120" s="63">
        <f t="shared" si="42"/>
        <v>0</v>
      </c>
      <c r="K120" s="53">
        <f>I120</f>
        <v>32423.195</v>
      </c>
      <c r="L120" s="63">
        <f t="shared" si="43"/>
        <v>0</v>
      </c>
      <c r="M120" s="53">
        <f>K120</f>
        <v>32423.195</v>
      </c>
      <c r="N120" s="63">
        <f t="shared" si="44"/>
        <v>0</v>
      </c>
      <c r="O120" s="53">
        <f>M120</f>
        <v>32423.195</v>
      </c>
      <c r="P120" s="63">
        <f t="shared" si="45"/>
        <v>0</v>
      </c>
      <c r="Q120" s="53">
        <f>O120</f>
        <v>32423.195</v>
      </c>
      <c r="R120" s="63">
        <f t="shared" si="46"/>
        <v>0</v>
      </c>
      <c r="S120" s="63">
        <f t="shared" si="47"/>
        <v>0</v>
      </c>
      <c r="T120" s="53">
        <f t="shared" ref="T120" si="72">Q120</f>
        <v>32423.195</v>
      </c>
      <c r="V120" s="47"/>
      <c r="W120" s="48"/>
    </row>
    <row r="121" spans="1:23" s="49" customFormat="1" ht="15.75" x14ac:dyDescent="0.25">
      <c r="A121" s="44" t="s">
        <v>189</v>
      </c>
      <c r="B121" s="50" t="s">
        <v>188</v>
      </c>
      <c r="C121" s="51">
        <f t="shared" ref="C121:T121" si="73">C122</f>
        <v>110108.37153999999</v>
      </c>
      <c r="D121" s="63">
        <f t="shared" si="39"/>
        <v>135279.44706000001</v>
      </c>
      <c r="E121" s="51">
        <f t="shared" si="73"/>
        <v>245387.8186</v>
      </c>
      <c r="F121" s="63">
        <f t="shared" si="40"/>
        <v>23876.348209999967</v>
      </c>
      <c r="G121" s="51">
        <f t="shared" si="73"/>
        <v>269264.16680999997</v>
      </c>
      <c r="H121" s="63">
        <f t="shared" si="41"/>
        <v>0</v>
      </c>
      <c r="I121" s="51">
        <f t="shared" si="73"/>
        <v>269264.16680999997</v>
      </c>
      <c r="J121" s="63">
        <f t="shared" si="42"/>
        <v>-151.84224999998696</v>
      </c>
      <c r="K121" s="51">
        <f t="shared" si="73"/>
        <v>269112.32455999998</v>
      </c>
      <c r="L121" s="63">
        <f t="shared" si="43"/>
        <v>-1112.1513999999734</v>
      </c>
      <c r="M121" s="51">
        <f t="shared" si="73"/>
        <v>268000.17316000001</v>
      </c>
      <c r="N121" s="63">
        <f t="shared" si="44"/>
        <v>377.44599999999627</v>
      </c>
      <c r="O121" s="51">
        <f>O122</f>
        <v>268377.61916</v>
      </c>
      <c r="P121" s="63">
        <f t="shared" si="45"/>
        <v>-7221.3470099999977</v>
      </c>
      <c r="Q121" s="51">
        <f t="shared" si="73"/>
        <v>261156.27215</v>
      </c>
      <c r="R121" s="63">
        <f t="shared" si="46"/>
        <v>-2399.9998100000084</v>
      </c>
      <c r="S121" s="63">
        <f t="shared" si="47"/>
        <v>148647.9008</v>
      </c>
      <c r="T121" s="51">
        <f t="shared" si="73"/>
        <v>258756.27234</v>
      </c>
      <c r="V121" s="47"/>
      <c r="W121" s="48"/>
    </row>
    <row r="122" spans="1:23" s="49" customFormat="1" ht="15.75" x14ac:dyDescent="0.25">
      <c r="A122" s="44" t="s">
        <v>191</v>
      </c>
      <c r="B122" s="50" t="s">
        <v>190</v>
      </c>
      <c r="C122" s="51">
        <f>16882.07682+4665.0986+10868.71193+1906.244+50000+15000+9576.5717+630.49999+275.484+303.6845</f>
        <v>110108.37153999999</v>
      </c>
      <c r="D122" s="63">
        <f t="shared" si="39"/>
        <v>135279.44706000001</v>
      </c>
      <c r="E122" s="51">
        <f>C122+921.748+163.67906+125194.02+9000</f>
        <v>245387.8186</v>
      </c>
      <c r="F122" s="63">
        <f t="shared" si="40"/>
        <v>23876.348209999967</v>
      </c>
      <c r="G122" s="51">
        <f>E122+16676.34821+7200</f>
        <v>269264.16680999997</v>
      </c>
      <c r="H122" s="63">
        <f t="shared" si="41"/>
        <v>0</v>
      </c>
      <c r="I122" s="51">
        <f>G122</f>
        <v>269264.16680999997</v>
      </c>
      <c r="J122" s="63">
        <f t="shared" si="42"/>
        <v>-151.84224999998696</v>
      </c>
      <c r="K122" s="51">
        <f>I122-151.84225</f>
        <v>269112.32455999998</v>
      </c>
      <c r="L122" s="63">
        <f t="shared" si="43"/>
        <v>-1112.1513999999734</v>
      </c>
      <c r="M122" s="51">
        <f>K122-1112.1514</f>
        <v>268000.17316000001</v>
      </c>
      <c r="N122" s="63">
        <f t="shared" si="44"/>
        <v>377.44599999999627</v>
      </c>
      <c r="O122" s="51">
        <f>M122-7200+7577.446</f>
        <v>268377.61916</v>
      </c>
      <c r="P122" s="63">
        <f t="shared" si="45"/>
        <v>-7221.3470099999977</v>
      </c>
      <c r="Q122" s="51">
        <f>O122-7221.34701</f>
        <v>261156.27215</v>
      </c>
      <c r="R122" s="63">
        <f t="shared" si="46"/>
        <v>-2399.9998100000084</v>
      </c>
      <c r="S122" s="63">
        <f t="shared" si="47"/>
        <v>148647.9008</v>
      </c>
      <c r="T122" s="51">
        <f>Q122-2399.99981</f>
        <v>258756.27234</v>
      </c>
      <c r="V122" s="47"/>
      <c r="W122" s="48"/>
    </row>
    <row r="123" spans="1:23" s="46" customFormat="1" ht="27.75" customHeight="1" x14ac:dyDescent="0.25">
      <c r="A123" s="64" t="s">
        <v>193</v>
      </c>
      <c r="B123" s="65" t="s">
        <v>192</v>
      </c>
      <c r="C123" s="62">
        <f>C124+C126+C128+C130+C132+C138+C134+C136+C140+C142</f>
        <v>634623.59765999997</v>
      </c>
      <c r="D123" s="59">
        <f t="shared" si="39"/>
        <v>2003.3375800000504</v>
      </c>
      <c r="E123" s="62">
        <f>E124+E126+E128+E130+E132+E138+E134+E136+E140+E142</f>
        <v>636626.93524000002</v>
      </c>
      <c r="F123" s="59">
        <f t="shared" si="40"/>
        <v>0</v>
      </c>
      <c r="G123" s="62">
        <f t="shared" ref="G123:T123" si="74">G124+G126+G128+G130+G132+G138+G134+G136+G140+G142</f>
        <v>636626.93524000002</v>
      </c>
      <c r="H123" s="59">
        <f t="shared" si="41"/>
        <v>594.46195999998599</v>
      </c>
      <c r="I123" s="62">
        <f t="shared" si="74"/>
        <v>637221.39720000001</v>
      </c>
      <c r="J123" s="59">
        <f t="shared" si="42"/>
        <v>0</v>
      </c>
      <c r="K123" s="62">
        <f t="shared" si="74"/>
        <v>637221.39720000001</v>
      </c>
      <c r="L123" s="59">
        <f t="shared" si="43"/>
        <v>19925.755200000014</v>
      </c>
      <c r="M123" s="62">
        <f t="shared" si="74"/>
        <v>657147.15240000002</v>
      </c>
      <c r="N123" s="59">
        <f t="shared" si="44"/>
        <v>18525.221999999951</v>
      </c>
      <c r="O123" s="62">
        <f t="shared" si="74"/>
        <v>675672.37439999997</v>
      </c>
      <c r="P123" s="59">
        <f t="shared" si="45"/>
        <v>-398.08603999996558</v>
      </c>
      <c r="Q123" s="62">
        <f t="shared" si="74"/>
        <v>675274.28836000001</v>
      </c>
      <c r="R123" s="59">
        <f t="shared" si="46"/>
        <v>-185.58689999999478</v>
      </c>
      <c r="S123" s="59">
        <f t="shared" si="47"/>
        <v>40465.103800000041</v>
      </c>
      <c r="T123" s="62">
        <f t="shared" si="74"/>
        <v>675088.70146000001</v>
      </c>
      <c r="V123" s="48"/>
      <c r="W123" s="48"/>
    </row>
    <row r="124" spans="1:23" s="49" customFormat="1" ht="24" x14ac:dyDescent="0.25">
      <c r="A124" s="44" t="s">
        <v>195</v>
      </c>
      <c r="B124" s="50" t="s">
        <v>194</v>
      </c>
      <c r="C124" s="51">
        <f t="shared" ref="C124:T124" si="75">C125</f>
        <v>550674.68778000004</v>
      </c>
      <c r="D124" s="63">
        <f t="shared" si="39"/>
        <v>2003.3375800000504</v>
      </c>
      <c r="E124" s="51">
        <f t="shared" si="75"/>
        <v>552678.02536000009</v>
      </c>
      <c r="F124" s="63">
        <f t="shared" si="40"/>
        <v>0</v>
      </c>
      <c r="G124" s="51">
        <f t="shared" si="75"/>
        <v>552678.02536000009</v>
      </c>
      <c r="H124" s="63">
        <f t="shared" si="41"/>
        <v>594.46195999998599</v>
      </c>
      <c r="I124" s="51">
        <f t="shared" si="75"/>
        <v>553272.48732000007</v>
      </c>
      <c r="J124" s="63">
        <f t="shared" si="42"/>
        <v>0</v>
      </c>
      <c r="K124" s="51">
        <f t="shared" si="75"/>
        <v>553272.48732000007</v>
      </c>
      <c r="L124" s="63">
        <f t="shared" si="43"/>
        <v>19925.755200000014</v>
      </c>
      <c r="M124" s="51">
        <f t="shared" si="75"/>
        <v>573198.24252000009</v>
      </c>
      <c r="N124" s="63">
        <f t="shared" si="44"/>
        <v>18370.883999999962</v>
      </c>
      <c r="O124" s="51">
        <f>O125</f>
        <v>591569.12652000005</v>
      </c>
      <c r="P124" s="63">
        <f t="shared" si="45"/>
        <v>-741.41703999997117</v>
      </c>
      <c r="Q124" s="51">
        <f t="shared" si="75"/>
        <v>590827.70948000008</v>
      </c>
      <c r="R124" s="63">
        <f t="shared" si="46"/>
        <v>0</v>
      </c>
      <c r="S124" s="63">
        <f t="shared" si="47"/>
        <v>40153.021700000041</v>
      </c>
      <c r="T124" s="51">
        <f t="shared" si="75"/>
        <v>590827.70948000008</v>
      </c>
      <c r="V124" s="47"/>
      <c r="W124" s="48"/>
    </row>
    <row r="125" spans="1:23" s="49" customFormat="1" ht="24" x14ac:dyDescent="0.25">
      <c r="A125" s="44" t="s">
        <v>197</v>
      </c>
      <c r="B125" s="50" t="s">
        <v>196</v>
      </c>
      <c r="C125" s="51">
        <f>281753.656+196412.337+4135+7900.3575+909.86+3.38708+8212.25894+33.911+3900.437+37353.39826+1.3567+760.7483+9297.98</f>
        <v>550674.68778000004</v>
      </c>
      <c r="D125" s="63">
        <f t="shared" si="39"/>
        <v>2003.3375800000504</v>
      </c>
      <c r="E125" s="51">
        <f>C125+2003.33758</f>
        <v>552678.02536000009</v>
      </c>
      <c r="F125" s="63">
        <f t="shared" si="40"/>
        <v>0</v>
      </c>
      <c r="G125" s="51">
        <f>E125</f>
        <v>552678.02536000009</v>
      </c>
      <c r="H125" s="63">
        <f t="shared" si="41"/>
        <v>594.46195999998599</v>
      </c>
      <c r="I125" s="51">
        <f>G125+594.46196</f>
        <v>553272.48732000007</v>
      </c>
      <c r="J125" s="63">
        <f t="shared" si="42"/>
        <v>0</v>
      </c>
      <c r="K125" s="51">
        <f>I125</f>
        <v>553272.48732000007</v>
      </c>
      <c r="L125" s="63">
        <f t="shared" si="43"/>
        <v>19925.755200000014</v>
      </c>
      <c r="M125" s="51">
        <f>K125+19925.7552</f>
        <v>573198.24252000009</v>
      </c>
      <c r="N125" s="63">
        <f t="shared" si="44"/>
        <v>18370.883999999962</v>
      </c>
      <c r="O125" s="51">
        <f>M125+9170.747+9200.137</f>
        <v>591569.12652000005</v>
      </c>
      <c r="P125" s="63">
        <f t="shared" si="45"/>
        <v>-741.41703999997117</v>
      </c>
      <c r="Q125" s="51">
        <f>O125-741.41704</f>
        <v>590827.70948000008</v>
      </c>
      <c r="R125" s="63">
        <f t="shared" si="46"/>
        <v>0</v>
      </c>
      <c r="S125" s="63">
        <f t="shared" si="47"/>
        <v>40153.021700000041</v>
      </c>
      <c r="T125" s="51">
        <f>Q125</f>
        <v>590827.70948000008</v>
      </c>
      <c r="V125" s="47"/>
      <c r="W125" s="48"/>
    </row>
    <row r="126" spans="1:23" s="49" customFormat="1" ht="60" x14ac:dyDescent="0.25">
      <c r="A126" s="44" t="s">
        <v>199</v>
      </c>
      <c r="B126" s="50" t="s">
        <v>198</v>
      </c>
      <c r="C126" s="51">
        <f t="shared" ref="C126:T126" si="76">C127</f>
        <v>16477.575000000001</v>
      </c>
      <c r="D126" s="63">
        <f t="shared" si="39"/>
        <v>0</v>
      </c>
      <c r="E126" s="51">
        <f t="shared" si="76"/>
        <v>16477.575000000001</v>
      </c>
      <c r="F126" s="63">
        <f t="shared" si="40"/>
        <v>0</v>
      </c>
      <c r="G126" s="51">
        <f t="shared" si="76"/>
        <v>16477.575000000001</v>
      </c>
      <c r="H126" s="63">
        <f t="shared" si="41"/>
        <v>0</v>
      </c>
      <c r="I126" s="51">
        <f t="shared" si="76"/>
        <v>16477.575000000001</v>
      </c>
      <c r="J126" s="63">
        <f t="shared" si="42"/>
        <v>0</v>
      </c>
      <c r="K126" s="51">
        <f t="shared" si="76"/>
        <v>16477.575000000001</v>
      </c>
      <c r="L126" s="63">
        <f t="shared" si="43"/>
        <v>0</v>
      </c>
      <c r="M126" s="51">
        <f t="shared" si="76"/>
        <v>16477.575000000001</v>
      </c>
      <c r="N126" s="63">
        <f t="shared" si="44"/>
        <v>0</v>
      </c>
      <c r="O126" s="51">
        <f>O127</f>
        <v>16477.575000000001</v>
      </c>
      <c r="P126" s="63">
        <f t="shared" si="45"/>
        <v>-2677.5750000000007</v>
      </c>
      <c r="Q126" s="51">
        <f t="shared" si="76"/>
        <v>13800</v>
      </c>
      <c r="R126" s="63">
        <f t="shared" si="46"/>
        <v>0</v>
      </c>
      <c r="S126" s="63">
        <f t="shared" si="47"/>
        <v>-2677.5750000000007</v>
      </c>
      <c r="T126" s="51">
        <f t="shared" si="76"/>
        <v>13800</v>
      </c>
      <c r="V126" s="47"/>
      <c r="W126" s="48"/>
    </row>
    <row r="127" spans="1:23" s="49" customFormat="1" ht="60" x14ac:dyDescent="0.25">
      <c r="A127" s="44" t="s">
        <v>201</v>
      </c>
      <c r="B127" s="50" t="s">
        <v>200</v>
      </c>
      <c r="C127" s="51">
        <v>16477.575000000001</v>
      </c>
      <c r="D127" s="63">
        <f t="shared" si="39"/>
        <v>0</v>
      </c>
      <c r="E127" s="51">
        <f>C127</f>
        <v>16477.575000000001</v>
      </c>
      <c r="F127" s="63">
        <f t="shared" si="40"/>
        <v>0</v>
      </c>
      <c r="G127" s="51">
        <f>E127</f>
        <v>16477.575000000001</v>
      </c>
      <c r="H127" s="63">
        <f t="shared" si="41"/>
        <v>0</v>
      </c>
      <c r="I127" s="51">
        <f>G127</f>
        <v>16477.575000000001</v>
      </c>
      <c r="J127" s="63">
        <f t="shared" si="42"/>
        <v>0</v>
      </c>
      <c r="K127" s="51">
        <f>I127</f>
        <v>16477.575000000001</v>
      </c>
      <c r="L127" s="63">
        <f t="shared" si="43"/>
        <v>0</v>
      </c>
      <c r="M127" s="51">
        <f>K127</f>
        <v>16477.575000000001</v>
      </c>
      <c r="N127" s="63">
        <f t="shared" si="44"/>
        <v>0</v>
      </c>
      <c r="O127" s="51">
        <f t="shared" ref="O127" si="77">M127</f>
        <v>16477.575000000001</v>
      </c>
      <c r="P127" s="63">
        <f t="shared" si="45"/>
        <v>-2677.5750000000007</v>
      </c>
      <c r="Q127" s="51">
        <f>O127-2677.575</f>
        <v>13800</v>
      </c>
      <c r="R127" s="63">
        <f t="shared" si="46"/>
        <v>0</v>
      </c>
      <c r="S127" s="63">
        <f t="shared" si="47"/>
        <v>-2677.5750000000007</v>
      </c>
      <c r="T127" s="51">
        <f>Q127</f>
        <v>13800</v>
      </c>
      <c r="V127" s="47"/>
      <c r="W127" s="48"/>
    </row>
    <row r="128" spans="1:23" s="49" customFormat="1" ht="48" x14ac:dyDescent="0.25">
      <c r="A128" s="44" t="s">
        <v>203</v>
      </c>
      <c r="B128" s="50" t="s">
        <v>202</v>
      </c>
      <c r="C128" s="53">
        <f t="shared" ref="C128:T128" si="78">C129</f>
        <v>29186.227879999999</v>
      </c>
      <c r="D128" s="63">
        <f t="shared" si="39"/>
        <v>0</v>
      </c>
      <c r="E128" s="53">
        <f t="shared" si="78"/>
        <v>29186.227879999999</v>
      </c>
      <c r="F128" s="63">
        <f t="shared" si="40"/>
        <v>0</v>
      </c>
      <c r="G128" s="53">
        <f t="shared" si="78"/>
        <v>29186.227879999999</v>
      </c>
      <c r="H128" s="63">
        <f t="shared" si="41"/>
        <v>0</v>
      </c>
      <c r="I128" s="53">
        <f t="shared" si="78"/>
        <v>29186.227879999999</v>
      </c>
      <c r="J128" s="63">
        <f t="shared" si="42"/>
        <v>0</v>
      </c>
      <c r="K128" s="53">
        <f t="shared" si="78"/>
        <v>29186.227879999999</v>
      </c>
      <c r="L128" s="63">
        <f t="shared" si="43"/>
        <v>0</v>
      </c>
      <c r="M128" s="53">
        <f t="shared" si="78"/>
        <v>29186.227879999999</v>
      </c>
      <c r="N128" s="63">
        <f t="shared" si="44"/>
        <v>0</v>
      </c>
      <c r="O128" s="53">
        <f>O129</f>
        <v>29186.227879999999</v>
      </c>
      <c r="P128" s="63">
        <f t="shared" si="45"/>
        <v>0</v>
      </c>
      <c r="Q128" s="53">
        <f t="shared" si="78"/>
        <v>29186.227879999999</v>
      </c>
      <c r="R128" s="63">
        <f t="shared" si="46"/>
        <v>-185.58689999999842</v>
      </c>
      <c r="S128" s="63">
        <f t="shared" si="47"/>
        <v>-185.58689999999842</v>
      </c>
      <c r="T128" s="53">
        <f t="shared" si="78"/>
        <v>29000.64098</v>
      </c>
      <c r="V128" s="47"/>
      <c r="W128" s="48"/>
    </row>
    <row r="129" spans="1:23" s="49" customFormat="1" ht="48" x14ac:dyDescent="0.25">
      <c r="A129" s="44" t="s">
        <v>205</v>
      </c>
      <c r="B129" s="50" t="s">
        <v>204</v>
      </c>
      <c r="C129" s="53">
        <v>29186.227879999999</v>
      </c>
      <c r="D129" s="63">
        <f t="shared" si="39"/>
        <v>0</v>
      </c>
      <c r="E129" s="53">
        <f>C129</f>
        <v>29186.227879999999</v>
      </c>
      <c r="F129" s="63">
        <f t="shared" si="40"/>
        <v>0</v>
      </c>
      <c r="G129" s="53">
        <f>E129</f>
        <v>29186.227879999999</v>
      </c>
      <c r="H129" s="63">
        <f t="shared" si="41"/>
        <v>0</v>
      </c>
      <c r="I129" s="53">
        <f>G129</f>
        <v>29186.227879999999</v>
      </c>
      <c r="J129" s="63">
        <f t="shared" si="42"/>
        <v>0</v>
      </c>
      <c r="K129" s="53">
        <f>I129</f>
        <v>29186.227879999999</v>
      </c>
      <c r="L129" s="63">
        <f t="shared" si="43"/>
        <v>0</v>
      </c>
      <c r="M129" s="53">
        <f>K129</f>
        <v>29186.227879999999</v>
      </c>
      <c r="N129" s="63">
        <f t="shared" si="44"/>
        <v>0</v>
      </c>
      <c r="O129" s="53">
        <f>M129</f>
        <v>29186.227879999999</v>
      </c>
      <c r="P129" s="63">
        <f t="shared" si="45"/>
        <v>0</v>
      </c>
      <c r="Q129" s="53">
        <f t="shared" ref="Q129" si="79">O129</f>
        <v>29186.227879999999</v>
      </c>
      <c r="R129" s="63">
        <f t="shared" si="46"/>
        <v>-185.58689999999842</v>
      </c>
      <c r="S129" s="63">
        <f t="shared" si="47"/>
        <v>-185.58689999999842</v>
      </c>
      <c r="T129" s="53">
        <f>Q129-185.5869</f>
        <v>29000.64098</v>
      </c>
      <c r="V129" s="47"/>
      <c r="W129" s="48"/>
    </row>
    <row r="130" spans="1:23" s="49" customFormat="1" ht="48" x14ac:dyDescent="0.25">
      <c r="A130" s="44" t="s">
        <v>207</v>
      </c>
      <c r="B130" s="50" t="s">
        <v>206</v>
      </c>
      <c r="C130" s="56">
        <f t="shared" ref="C130:T130" si="80">C131</f>
        <v>533.08100000000002</v>
      </c>
      <c r="D130" s="63">
        <f t="shared" si="39"/>
        <v>0</v>
      </c>
      <c r="E130" s="56">
        <f t="shared" si="80"/>
        <v>533.08100000000002</v>
      </c>
      <c r="F130" s="63">
        <f t="shared" si="40"/>
        <v>0</v>
      </c>
      <c r="G130" s="56">
        <f t="shared" si="80"/>
        <v>533.08100000000002</v>
      </c>
      <c r="H130" s="63">
        <f t="shared" si="41"/>
        <v>0</v>
      </c>
      <c r="I130" s="56">
        <f t="shared" si="80"/>
        <v>533.08100000000002</v>
      </c>
      <c r="J130" s="63">
        <f t="shared" si="42"/>
        <v>0</v>
      </c>
      <c r="K130" s="56">
        <f t="shared" si="80"/>
        <v>533.08100000000002</v>
      </c>
      <c r="L130" s="63">
        <f t="shared" si="43"/>
        <v>0</v>
      </c>
      <c r="M130" s="56">
        <f t="shared" si="80"/>
        <v>533.08100000000002</v>
      </c>
      <c r="N130" s="63">
        <f t="shared" si="44"/>
        <v>0</v>
      </c>
      <c r="O130" s="56">
        <f>O131</f>
        <v>533.08100000000002</v>
      </c>
      <c r="P130" s="63">
        <f t="shared" si="45"/>
        <v>0</v>
      </c>
      <c r="Q130" s="56">
        <f t="shared" si="80"/>
        <v>533.08100000000002</v>
      </c>
      <c r="R130" s="63">
        <f t="shared" si="46"/>
        <v>0</v>
      </c>
      <c r="S130" s="63">
        <f t="shared" si="47"/>
        <v>0</v>
      </c>
      <c r="T130" s="51">
        <f t="shared" si="80"/>
        <v>533.08100000000002</v>
      </c>
      <c r="V130" s="47"/>
      <c r="W130" s="48"/>
    </row>
    <row r="131" spans="1:23" s="49" customFormat="1" ht="48" x14ac:dyDescent="0.25">
      <c r="A131" s="44" t="s">
        <v>209</v>
      </c>
      <c r="B131" s="50" t="s">
        <v>208</v>
      </c>
      <c r="C131" s="56">
        <v>533.08100000000002</v>
      </c>
      <c r="D131" s="63">
        <f t="shared" si="39"/>
        <v>0</v>
      </c>
      <c r="E131" s="56">
        <f>C131</f>
        <v>533.08100000000002</v>
      </c>
      <c r="F131" s="63">
        <f t="shared" si="40"/>
        <v>0</v>
      </c>
      <c r="G131" s="56">
        <f>E131</f>
        <v>533.08100000000002</v>
      </c>
      <c r="H131" s="63">
        <f t="shared" si="41"/>
        <v>0</v>
      </c>
      <c r="I131" s="56">
        <f>G131</f>
        <v>533.08100000000002</v>
      </c>
      <c r="J131" s="63">
        <f t="shared" si="42"/>
        <v>0</v>
      </c>
      <c r="K131" s="56">
        <f>I131</f>
        <v>533.08100000000002</v>
      </c>
      <c r="L131" s="63">
        <f t="shared" si="43"/>
        <v>0</v>
      </c>
      <c r="M131" s="56">
        <f>K131</f>
        <v>533.08100000000002</v>
      </c>
      <c r="N131" s="63">
        <f t="shared" si="44"/>
        <v>0</v>
      </c>
      <c r="O131" s="56">
        <f>M131</f>
        <v>533.08100000000002</v>
      </c>
      <c r="P131" s="63">
        <f t="shared" si="45"/>
        <v>0</v>
      </c>
      <c r="Q131" s="56">
        <f>O131</f>
        <v>533.08100000000002</v>
      </c>
      <c r="R131" s="63">
        <f t="shared" si="46"/>
        <v>0</v>
      </c>
      <c r="S131" s="63">
        <f t="shared" si="47"/>
        <v>0</v>
      </c>
      <c r="T131" s="51">
        <f t="shared" ref="T131" si="81">Q131</f>
        <v>533.08100000000002</v>
      </c>
      <c r="V131" s="47"/>
      <c r="W131" s="48"/>
    </row>
    <row r="132" spans="1:23" s="49" customFormat="1" ht="36" x14ac:dyDescent="0.25">
      <c r="A132" s="44" t="s">
        <v>385</v>
      </c>
      <c r="B132" s="50" t="s">
        <v>386</v>
      </c>
      <c r="C132" s="51">
        <f t="shared" ref="C132:T132" si="82">C133</f>
        <v>0</v>
      </c>
      <c r="D132" s="63">
        <f t="shared" si="39"/>
        <v>0</v>
      </c>
      <c r="E132" s="51">
        <f t="shared" si="82"/>
        <v>0</v>
      </c>
      <c r="F132" s="63">
        <f t="shared" si="40"/>
        <v>0</v>
      </c>
      <c r="G132" s="51">
        <f t="shared" si="82"/>
        <v>0</v>
      </c>
      <c r="H132" s="63">
        <f t="shared" si="41"/>
        <v>0</v>
      </c>
      <c r="I132" s="51">
        <f t="shared" si="82"/>
        <v>0</v>
      </c>
      <c r="J132" s="63">
        <f t="shared" si="42"/>
        <v>0</v>
      </c>
      <c r="K132" s="51">
        <f t="shared" si="82"/>
        <v>0</v>
      </c>
      <c r="L132" s="63">
        <f t="shared" si="43"/>
        <v>0</v>
      </c>
      <c r="M132" s="51">
        <f t="shared" si="82"/>
        <v>0</v>
      </c>
      <c r="N132" s="63">
        <f t="shared" si="44"/>
        <v>0</v>
      </c>
      <c r="O132" s="51"/>
      <c r="P132" s="63">
        <f t="shared" si="45"/>
        <v>0</v>
      </c>
      <c r="Q132" s="51">
        <f t="shared" si="82"/>
        <v>0</v>
      </c>
      <c r="R132" s="63">
        <f t="shared" si="46"/>
        <v>0</v>
      </c>
      <c r="S132" s="63">
        <f t="shared" si="47"/>
        <v>0</v>
      </c>
      <c r="T132" s="51">
        <f t="shared" si="82"/>
        <v>0</v>
      </c>
      <c r="V132" s="47"/>
      <c r="W132" s="48"/>
    </row>
    <row r="133" spans="1:23" s="49" customFormat="1" ht="36" x14ac:dyDescent="0.25">
      <c r="A133" s="44" t="s">
        <v>387</v>
      </c>
      <c r="B133" s="50" t="s">
        <v>388</v>
      </c>
      <c r="C133" s="51">
        <v>0</v>
      </c>
      <c r="D133" s="63">
        <f t="shared" ref="D133:D155" si="83">E133-C133</f>
        <v>0</v>
      </c>
      <c r="E133" s="51">
        <f>C133</f>
        <v>0</v>
      </c>
      <c r="F133" s="63">
        <f t="shared" ref="F133:F155" si="84">G133-E133</f>
        <v>0</v>
      </c>
      <c r="G133" s="51">
        <v>0</v>
      </c>
      <c r="H133" s="63">
        <f t="shared" ref="H133:H155" si="85">I133-G133</f>
        <v>0</v>
      </c>
      <c r="I133" s="51">
        <f>G133</f>
        <v>0</v>
      </c>
      <c r="J133" s="63">
        <f t="shared" ref="J133:J155" si="86">K133-I133</f>
        <v>0</v>
      </c>
      <c r="K133" s="51">
        <v>0</v>
      </c>
      <c r="L133" s="63">
        <f t="shared" ref="L133:L155" si="87">M133-K133</f>
        <v>0</v>
      </c>
      <c r="M133" s="51">
        <f>K133</f>
        <v>0</v>
      </c>
      <c r="N133" s="63">
        <f t="shared" ref="N133:N155" si="88">O133-M133</f>
        <v>0</v>
      </c>
      <c r="O133" s="51"/>
      <c r="P133" s="63">
        <f t="shared" ref="P133:P155" si="89">Q133-O133</f>
        <v>0</v>
      </c>
      <c r="Q133" s="51"/>
      <c r="R133" s="63">
        <f t="shared" ref="R133:R155" si="90">T133-Q133</f>
        <v>0</v>
      </c>
      <c r="S133" s="63">
        <f t="shared" ref="S133:S155" si="91">D133+F133+H133+J133+L133+N133+P133+R133</f>
        <v>0</v>
      </c>
      <c r="T133" s="51"/>
      <c r="V133" s="47"/>
      <c r="W133" s="48"/>
    </row>
    <row r="134" spans="1:23" s="49" customFormat="1" ht="48" x14ac:dyDescent="0.25">
      <c r="A134" s="44" t="s">
        <v>389</v>
      </c>
      <c r="B134" s="50" t="s">
        <v>390</v>
      </c>
      <c r="C134" s="51">
        <f t="shared" ref="C134:T134" si="92">C135</f>
        <v>30928.1</v>
      </c>
      <c r="D134" s="63">
        <f t="shared" si="83"/>
        <v>0</v>
      </c>
      <c r="E134" s="51">
        <f t="shared" si="92"/>
        <v>30928.1</v>
      </c>
      <c r="F134" s="63">
        <f t="shared" si="84"/>
        <v>0</v>
      </c>
      <c r="G134" s="51">
        <f t="shared" si="92"/>
        <v>30928.1</v>
      </c>
      <c r="H134" s="63">
        <f t="shared" si="85"/>
        <v>0</v>
      </c>
      <c r="I134" s="51">
        <f t="shared" si="92"/>
        <v>30928.1</v>
      </c>
      <c r="J134" s="63">
        <f t="shared" si="86"/>
        <v>0</v>
      </c>
      <c r="K134" s="51">
        <f t="shared" si="92"/>
        <v>30928.1</v>
      </c>
      <c r="L134" s="63">
        <f t="shared" si="87"/>
        <v>0</v>
      </c>
      <c r="M134" s="51">
        <f t="shared" si="92"/>
        <v>30928.1</v>
      </c>
      <c r="N134" s="63">
        <f t="shared" si="88"/>
        <v>0</v>
      </c>
      <c r="O134" s="51">
        <f>O135</f>
        <v>30928.1</v>
      </c>
      <c r="P134" s="63">
        <f t="shared" si="89"/>
        <v>3006.4749999999985</v>
      </c>
      <c r="Q134" s="51">
        <f t="shared" si="92"/>
        <v>33934.574999999997</v>
      </c>
      <c r="R134" s="63">
        <f t="shared" si="90"/>
        <v>0</v>
      </c>
      <c r="S134" s="63">
        <f t="shared" si="91"/>
        <v>3006.4749999999985</v>
      </c>
      <c r="T134" s="51">
        <f t="shared" si="92"/>
        <v>33934.574999999997</v>
      </c>
      <c r="V134" s="47"/>
      <c r="W134" s="48"/>
    </row>
    <row r="135" spans="1:23" s="49" customFormat="1" ht="48" x14ac:dyDescent="0.25">
      <c r="A135" s="44" t="s">
        <v>389</v>
      </c>
      <c r="B135" s="50" t="s">
        <v>391</v>
      </c>
      <c r="C135" s="51">
        <v>30928.1</v>
      </c>
      <c r="D135" s="63">
        <f t="shared" si="83"/>
        <v>0</v>
      </c>
      <c r="E135" s="51">
        <f>C135</f>
        <v>30928.1</v>
      </c>
      <c r="F135" s="63">
        <f t="shared" si="84"/>
        <v>0</v>
      </c>
      <c r="G135" s="51">
        <f>E135</f>
        <v>30928.1</v>
      </c>
      <c r="H135" s="63">
        <f t="shared" si="85"/>
        <v>0</v>
      </c>
      <c r="I135" s="51">
        <f>G135</f>
        <v>30928.1</v>
      </c>
      <c r="J135" s="63">
        <f t="shared" si="86"/>
        <v>0</v>
      </c>
      <c r="K135" s="51">
        <f>I135</f>
        <v>30928.1</v>
      </c>
      <c r="L135" s="63">
        <f t="shared" si="87"/>
        <v>0</v>
      </c>
      <c r="M135" s="51">
        <f>K135</f>
        <v>30928.1</v>
      </c>
      <c r="N135" s="63">
        <f t="shared" si="88"/>
        <v>0</v>
      </c>
      <c r="O135" s="51">
        <f t="shared" ref="O135" si="93">M135</f>
        <v>30928.1</v>
      </c>
      <c r="P135" s="63">
        <f t="shared" si="89"/>
        <v>3006.4749999999985</v>
      </c>
      <c r="Q135" s="51">
        <f>O135+3006.475</f>
        <v>33934.574999999997</v>
      </c>
      <c r="R135" s="63">
        <f t="shared" si="90"/>
        <v>0</v>
      </c>
      <c r="S135" s="63">
        <f t="shared" si="91"/>
        <v>3006.4749999999985</v>
      </c>
      <c r="T135" s="51">
        <f>Q135</f>
        <v>33934.574999999997</v>
      </c>
      <c r="V135" s="47"/>
      <c r="W135" s="48"/>
    </row>
    <row r="136" spans="1:23" s="49" customFormat="1" ht="31.5" customHeight="1" x14ac:dyDescent="0.25">
      <c r="A136" s="44" t="s">
        <v>392</v>
      </c>
      <c r="B136" s="50" t="s">
        <v>393</v>
      </c>
      <c r="C136" s="51">
        <f t="shared" ref="C136:T136" si="94">C137</f>
        <v>0</v>
      </c>
      <c r="D136" s="63">
        <f t="shared" si="83"/>
        <v>0</v>
      </c>
      <c r="E136" s="51">
        <f t="shared" si="94"/>
        <v>0</v>
      </c>
      <c r="F136" s="63">
        <f t="shared" si="84"/>
        <v>0</v>
      </c>
      <c r="G136" s="51">
        <f t="shared" si="94"/>
        <v>0</v>
      </c>
      <c r="H136" s="63">
        <f t="shared" si="85"/>
        <v>0</v>
      </c>
      <c r="I136" s="51">
        <f t="shared" si="94"/>
        <v>0</v>
      </c>
      <c r="J136" s="63">
        <f t="shared" si="86"/>
        <v>0</v>
      </c>
      <c r="K136" s="51">
        <f t="shared" si="94"/>
        <v>0</v>
      </c>
      <c r="L136" s="63">
        <f t="shared" si="87"/>
        <v>0</v>
      </c>
      <c r="M136" s="51">
        <f t="shared" si="94"/>
        <v>0</v>
      </c>
      <c r="N136" s="63">
        <f t="shared" si="88"/>
        <v>0</v>
      </c>
      <c r="O136" s="51"/>
      <c r="P136" s="63">
        <f t="shared" si="89"/>
        <v>0</v>
      </c>
      <c r="Q136" s="51">
        <f t="shared" si="94"/>
        <v>0</v>
      </c>
      <c r="R136" s="63">
        <f t="shared" si="90"/>
        <v>0</v>
      </c>
      <c r="S136" s="63">
        <f t="shared" si="91"/>
        <v>0</v>
      </c>
      <c r="T136" s="51">
        <f t="shared" si="94"/>
        <v>0</v>
      </c>
      <c r="V136" s="47"/>
      <c r="W136" s="48"/>
    </row>
    <row r="137" spans="1:23" s="49" customFormat="1" ht="28.5" customHeight="1" x14ac:dyDescent="0.25">
      <c r="A137" s="44" t="s">
        <v>394</v>
      </c>
      <c r="B137" s="50" t="s">
        <v>395</v>
      </c>
      <c r="C137" s="51"/>
      <c r="D137" s="63">
        <f t="shared" si="83"/>
        <v>0</v>
      </c>
      <c r="E137" s="51"/>
      <c r="F137" s="63">
        <f t="shared" si="84"/>
        <v>0</v>
      </c>
      <c r="G137" s="51"/>
      <c r="H137" s="63">
        <f t="shared" si="85"/>
        <v>0</v>
      </c>
      <c r="I137" s="51"/>
      <c r="J137" s="63">
        <f t="shared" si="86"/>
        <v>0</v>
      </c>
      <c r="K137" s="51"/>
      <c r="L137" s="63">
        <f t="shared" si="87"/>
        <v>0</v>
      </c>
      <c r="M137" s="51"/>
      <c r="N137" s="63">
        <f t="shared" si="88"/>
        <v>0</v>
      </c>
      <c r="O137" s="51"/>
      <c r="P137" s="63">
        <f t="shared" si="89"/>
        <v>0</v>
      </c>
      <c r="Q137" s="51"/>
      <c r="R137" s="63">
        <f t="shared" si="90"/>
        <v>0</v>
      </c>
      <c r="S137" s="63">
        <f t="shared" si="91"/>
        <v>0</v>
      </c>
      <c r="T137" s="51"/>
      <c r="V137" s="47"/>
      <c r="W137" s="48"/>
    </row>
    <row r="138" spans="1:23" s="49" customFormat="1" ht="24" x14ac:dyDescent="0.25">
      <c r="A138" s="44" t="s">
        <v>211</v>
      </c>
      <c r="B138" s="50" t="s">
        <v>210</v>
      </c>
      <c r="C138" s="51">
        <f t="shared" ref="C138:T138" si="95">C139</f>
        <v>3677.2190000000001</v>
      </c>
      <c r="D138" s="63">
        <f t="shared" si="83"/>
        <v>0</v>
      </c>
      <c r="E138" s="51">
        <f t="shared" si="95"/>
        <v>3677.2190000000001</v>
      </c>
      <c r="F138" s="63">
        <f t="shared" si="84"/>
        <v>0</v>
      </c>
      <c r="G138" s="51">
        <f t="shared" si="95"/>
        <v>3677.2190000000001</v>
      </c>
      <c r="H138" s="63">
        <f t="shared" si="85"/>
        <v>0</v>
      </c>
      <c r="I138" s="51">
        <f t="shared" si="95"/>
        <v>3677.2190000000001</v>
      </c>
      <c r="J138" s="63">
        <f t="shared" si="86"/>
        <v>0</v>
      </c>
      <c r="K138" s="51">
        <f t="shared" si="95"/>
        <v>3677.2190000000001</v>
      </c>
      <c r="L138" s="63">
        <f t="shared" si="87"/>
        <v>0</v>
      </c>
      <c r="M138" s="51">
        <f t="shared" si="95"/>
        <v>3677.2190000000001</v>
      </c>
      <c r="N138" s="63">
        <f t="shared" si="88"/>
        <v>154.33800000000019</v>
      </c>
      <c r="O138" s="51">
        <f>O139</f>
        <v>3831.5570000000002</v>
      </c>
      <c r="P138" s="63">
        <f t="shared" si="89"/>
        <v>14.43100000000004</v>
      </c>
      <c r="Q138" s="51">
        <f t="shared" si="95"/>
        <v>3845.9880000000003</v>
      </c>
      <c r="R138" s="63">
        <f t="shared" si="90"/>
        <v>0</v>
      </c>
      <c r="S138" s="63">
        <f t="shared" si="91"/>
        <v>168.76900000000023</v>
      </c>
      <c r="T138" s="51">
        <f t="shared" si="95"/>
        <v>3845.9880000000003</v>
      </c>
      <c r="V138" s="47"/>
      <c r="W138" s="48"/>
    </row>
    <row r="139" spans="1:23" s="49" customFormat="1" ht="24" x14ac:dyDescent="0.25">
      <c r="A139" s="44" t="s">
        <v>213</v>
      </c>
      <c r="B139" s="50" t="s">
        <v>212</v>
      </c>
      <c r="C139" s="51">
        <v>3677.2190000000001</v>
      </c>
      <c r="D139" s="63">
        <f t="shared" si="83"/>
        <v>0</v>
      </c>
      <c r="E139" s="51">
        <f>C139</f>
        <v>3677.2190000000001</v>
      </c>
      <c r="F139" s="63">
        <f t="shared" si="84"/>
        <v>0</v>
      </c>
      <c r="G139" s="51">
        <f>E139</f>
        <v>3677.2190000000001</v>
      </c>
      <c r="H139" s="63">
        <f t="shared" si="85"/>
        <v>0</v>
      </c>
      <c r="I139" s="51">
        <f>G139</f>
        <v>3677.2190000000001</v>
      </c>
      <c r="J139" s="63">
        <f t="shared" si="86"/>
        <v>0</v>
      </c>
      <c r="K139" s="51">
        <f>I139</f>
        <v>3677.2190000000001</v>
      </c>
      <c r="L139" s="63">
        <f t="shared" si="87"/>
        <v>0</v>
      </c>
      <c r="M139" s="51">
        <f>K139</f>
        <v>3677.2190000000001</v>
      </c>
      <c r="N139" s="63">
        <f t="shared" si="88"/>
        <v>154.33800000000019</v>
      </c>
      <c r="O139" s="51">
        <f>M139+154.338</f>
        <v>3831.5570000000002</v>
      </c>
      <c r="P139" s="63">
        <f t="shared" si="89"/>
        <v>14.43100000000004</v>
      </c>
      <c r="Q139" s="51">
        <f>O139+14.431</f>
        <v>3845.9880000000003</v>
      </c>
      <c r="R139" s="63">
        <f t="shared" si="90"/>
        <v>0</v>
      </c>
      <c r="S139" s="63">
        <f t="shared" si="91"/>
        <v>168.76900000000023</v>
      </c>
      <c r="T139" s="51">
        <f>Q139</f>
        <v>3845.9880000000003</v>
      </c>
      <c r="V139" s="47"/>
      <c r="W139" s="48"/>
    </row>
    <row r="140" spans="1:23" s="49" customFormat="1" ht="30.75" customHeight="1" x14ac:dyDescent="0.25">
      <c r="A140" s="44" t="s">
        <v>396</v>
      </c>
      <c r="B140" s="50" t="s">
        <v>397</v>
      </c>
      <c r="C140" s="51">
        <f t="shared" ref="C140:T140" si="96">C141</f>
        <v>2245.08</v>
      </c>
      <c r="D140" s="63">
        <f t="shared" si="83"/>
        <v>0</v>
      </c>
      <c r="E140" s="51">
        <f t="shared" si="96"/>
        <v>2245.08</v>
      </c>
      <c r="F140" s="63">
        <f t="shared" si="84"/>
        <v>0</v>
      </c>
      <c r="G140" s="51">
        <f t="shared" si="96"/>
        <v>2245.08</v>
      </c>
      <c r="H140" s="63">
        <f t="shared" si="85"/>
        <v>0</v>
      </c>
      <c r="I140" s="51">
        <f t="shared" si="96"/>
        <v>2245.08</v>
      </c>
      <c r="J140" s="63">
        <f t="shared" si="86"/>
        <v>0</v>
      </c>
      <c r="K140" s="51">
        <f t="shared" si="96"/>
        <v>2245.08</v>
      </c>
      <c r="L140" s="63">
        <f t="shared" si="87"/>
        <v>0</v>
      </c>
      <c r="M140" s="51">
        <f t="shared" si="96"/>
        <v>2245.08</v>
      </c>
      <c r="N140" s="63">
        <f t="shared" si="88"/>
        <v>0</v>
      </c>
      <c r="O140" s="51">
        <f>O141</f>
        <v>2245.08</v>
      </c>
      <c r="P140" s="63">
        <f t="shared" si="89"/>
        <v>0</v>
      </c>
      <c r="Q140" s="51">
        <f t="shared" si="96"/>
        <v>2245.08</v>
      </c>
      <c r="R140" s="63">
        <f t="shared" si="90"/>
        <v>0</v>
      </c>
      <c r="S140" s="63">
        <f t="shared" si="91"/>
        <v>0</v>
      </c>
      <c r="T140" s="51">
        <f t="shared" si="96"/>
        <v>2245.08</v>
      </c>
      <c r="V140" s="47"/>
      <c r="W140" s="48"/>
    </row>
    <row r="141" spans="1:23" s="49" customFormat="1" ht="30.75" customHeight="1" x14ac:dyDescent="0.25">
      <c r="A141" s="44" t="s">
        <v>398</v>
      </c>
      <c r="B141" s="50" t="s">
        <v>399</v>
      </c>
      <c r="C141" s="51">
        <v>2245.08</v>
      </c>
      <c r="D141" s="63">
        <f t="shared" si="83"/>
        <v>0</v>
      </c>
      <c r="E141" s="51">
        <f>C141</f>
        <v>2245.08</v>
      </c>
      <c r="F141" s="63">
        <f t="shared" si="84"/>
        <v>0</v>
      </c>
      <c r="G141" s="51">
        <f>E141</f>
        <v>2245.08</v>
      </c>
      <c r="H141" s="63">
        <f t="shared" si="85"/>
        <v>0</v>
      </c>
      <c r="I141" s="51">
        <f>G141</f>
        <v>2245.08</v>
      </c>
      <c r="J141" s="63">
        <f t="shared" si="86"/>
        <v>0</v>
      </c>
      <c r="K141" s="51">
        <f>I141</f>
        <v>2245.08</v>
      </c>
      <c r="L141" s="63">
        <f t="shared" si="87"/>
        <v>0</v>
      </c>
      <c r="M141" s="51">
        <f>K141</f>
        <v>2245.08</v>
      </c>
      <c r="N141" s="63">
        <f t="shared" si="88"/>
        <v>0</v>
      </c>
      <c r="O141" s="51">
        <f>M141</f>
        <v>2245.08</v>
      </c>
      <c r="P141" s="63">
        <f t="shared" si="89"/>
        <v>0</v>
      </c>
      <c r="Q141" s="51">
        <f>O141</f>
        <v>2245.08</v>
      </c>
      <c r="R141" s="63">
        <f t="shared" si="90"/>
        <v>0</v>
      </c>
      <c r="S141" s="63">
        <f t="shared" si="91"/>
        <v>0</v>
      </c>
      <c r="T141" s="51">
        <f t="shared" ref="T141" si="97">Q141</f>
        <v>2245.08</v>
      </c>
      <c r="V141" s="47"/>
      <c r="W141" s="48"/>
    </row>
    <row r="142" spans="1:23" s="49" customFormat="1" ht="21" customHeight="1" x14ac:dyDescent="0.25">
      <c r="A142" s="44" t="s">
        <v>400</v>
      </c>
      <c r="B142" s="50" t="s">
        <v>401</v>
      </c>
      <c r="C142" s="51">
        <f>C143</f>
        <v>901.62699999999995</v>
      </c>
      <c r="D142" s="63">
        <f t="shared" si="83"/>
        <v>0</v>
      </c>
      <c r="E142" s="51">
        <f>C142</f>
        <v>901.62699999999995</v>
      </c>
      <c r="F142" s="63">
        <f t="shared" si="84"/>
        <v>0</v>
      </c>
      <c r="G142" s="51">
        <f>G143</f>
        <v>901.62699999999995</v>
      </c>
      <c r="H142" s="63">
        <f t="shared" si="85"/>
        <v>0</v>
      </c>
      <c r="I142" s="51">
        <f>G142</f>
        <v>901.62699999999995</v>
      </c>
      <c r="J142" s="63">
        <f t="shared" si="86"/>
        <v>0</v>
      </c>
      <c r="K142" s="51">
        <f t="shared" ref="K142:T142" si="98">K143</f>
        <v>901.62699999999995</v>
      </c>
      <c r="L142" s="63">
        <f t="shared" si="87"/>
        <v>0</v>
      </c>
      <c r="M142" s="51">
        <f t="shared" si="98"/>
        <v>901.62699999999995</v>
      </c>
      <c r="N142" s="63">
        <f t="shared" si="88"/>
        <v>0</v>
      </c>
      <c r="O142" s="51">
        <f t="shared" si="98"/>
        <v>901.62699999999995</v>
      </c>
      <c r="P142" s="63">
        <f t="shared" si="89"/>
        <v>0</v>
      </c>
      <c r="Q142" s="51">
        <f t="shared" si="98"/>
        <v>901.62699999999995</v>
      </c>
      <c r="R142" s="63">
        <f t="shared" si="90"/>
        <v>0</v>
      </c>
      <c r="S142" s="63">
        <f t="shared" si="91"/>
        <v>0</v>
      </c>
      <c r="T142" s="51">
        <f t="shared" si="98"/>
        <v>901.62699999999995</v>
      </c>
      <c r="V142" s="47"/>
      <c r="W142" s="48"/>
    </row>
    <row r="143" spans="1:23" s="49" customFormat="1" ht="21" customHeight="1" x14ac:dyDescent="0.25">
      <c r="A143" s="44" t="s">
        <v>402</v>
      </c>
      <c r="B143" s="50" t="s">
        <v>403</v>
      </c>
      <c r="C143" s="51">
        <v>901.62699999999995</v>
      </c>
      <c r="D143" s="63">
        <f t="shared" si="83"/>
        <v>0</v>
      </c>
      <c r="E143" s="51">
        <f>C143</f>
        <v>901.62699999999995</v>
      </c>
      <c r="F143" s="63">
        <f t="shared" si="84"/>
        <v>0</v>
      </c>
      <c r="G143" s="51">
        <f>E143</f>
        <v>901.62699999999995</v>
      </c>
      <c r="H143" s="63">
        <f t="shared" si="85"/>
        <v>0</v>
      </c>
      <c r="I143" s="51">
        <f>G143</f>
        <v>901.62699999999995</v>
      </c>
      <c r="J143" s="63">
        <f t="shared" si="86"/>
        <v>0</v>
      </c>
      <c r="K143" s="51">
        <f>I143</f>
        <v>901.62699999999995</v>
      </c>
      <c r="L143" s="63">
        <f t="shared" si="87"/>
        <v>0</v>
      </c>
      <c r="M143" s="51">
        <f>K143</f>
        <v>901.62699999999995</v>
      </c>
      <c r="N143" s="63">
        <f t="shared" si="88"/>
        <v>0</v>
      </c>
      <c r="O143" s="51">
        <f>M143</f>
        <v>901.62699999999995</v>
      </c>
      <c r="P143" s="63">
        <f t="shared" si="89"/>
        <v>0</v>
      </c>
      <c r="Q143" s="51">
        <f>O143</f>
        <v>901.62699999999995</v>
      </c>
      <c r="R143" s="63">
        <f t="shared" si="90"/>
        <v>0</v>
      </c>
      <c r="S143" s="63">
        <f t="shared" si="91"/>
        <v>0</v>
      </c>
      <c r="T143" s="51">
        <f t="shared" ref="T143" si="99">Q143</f>
        <v>901.62699999999995</v>
      </c>
      <c r="V143" s="47"/>
      <c r="W143" s="48"/>
    </row>
    <row r="144" spans="1:23" s="49" customFormat="1" ht="48" x14ac:dyDescent="0.25">
      <c r="A144" s="44" t="s">
        <v>404</v>
      </c>
      <c r="B144" s="50" t="s">
        <v>405</v>
      </c>
      <c r="C144" s="51">
        <f t="shared" ref="C144:T144" si="100">C145</f>
        <v>27729</v>
      </c>
      <c r="D144" s="63">
        <f t="shared" si="83"/>
        <v>0</v>
      </c>
      <c r="E144" s="51">
        <f t="shared" si="100"/>
        <v>27729</v>
      </c>
      <c r="F144" s="63">
        <f t="shared" si="84"/>
        <v>0</v>
      </c>
      <c r="G144" s="51">
        <f t="shared" si="100"/>
        <v>27729</v>
      </c>
      <c r="H144" s="63">
        <f t="shared" si="85"/>
        <v>0</v>
      </c>
      <c r="I144" s="51">
        <f t="shared" si="100"/>
        <v>27729</v>
      </c>
      <c r="J144" s="63">
        <f t="shared" si="86"/>
        <v>0</v>
      </c>
      <c r="K144" s="51">
        <f t="shared" si="100"/>
        <v>27729</v>
      </c>
      <c r="L144" s="63">
        <f t="shared" si="87"/>
        <v>0</v>
      </c>
      <c r="M144" s="51">
        <f t="shared" si="100"/>
        <v>27729</v>
      </c>
      <c r="N144" s="63">
        <f t="shared" si="88"/>
        <v>0</v>
      </c>
      <c r="O144" s="51">
        <f>O145</f>
        <v>27729</v>
      </c>
      <c r="P144" s="63">
        <f t="shared" si="89"/>
        <v>0</v>
      </c>
      <c r="Q144" s="51">
        <f t="shared" si="100"/>
        <v>27729</v>
      </c>
      <c r="R144" s="63">
        <f t="shared" si="90"/>
        <v>-1935.494999999999</v>
      </c>
      <c r="S144" s="63">
        <f t="shared" si="91"/>
        <v>-1935.494999999999</v>
      </c>
      <c r="T144" s="51">
        <f t="shared" si="100"/>
        <v>25793.505000000001</v>
      </c>
      <c r="V144" s="47"/>
      <c r="W144" s="48"/>
    </row>
    <row r="145" spans="1:23" s="49" customFormat="1" ht="48" x14ac:dyDescent="0.25">
      <c r="A145" s="44" t="s">
        <v>406</v>
      </c>
      <c r="B145" s="50" t="s">
        <v>407</v>
      </c>
      <c r="C145" s="51">
        <v>27729</v>
      </c>
      <c r="D145" s="63">
        <f t="shared" si="83"/>
        <v>0</v>
      </c>
      <c r="E145" s="51">
        <f>C145</f>
        <v>27729</v>
      </c>
      <c r="F145" s="63">
        <f t="shared" si="84"/>
        <v>0</v>
      </c>
      <c r="G145" s="51">
        <f>E145</f>
        <v>27729</v>
      </c>
      <c r="H145" s="63">
        <f t="shared" si="85"/>
        <v>0</v>
      </c>
      <c r="I145" s="51">
        <f>G145</f>
        <v>27729</v>
      </c>
      <c r="J145" s="63">
        <f t="shared" si="86"/>
        <v>0</v>
      </c>
      <c r="K145" s="51">
        <f>I145</f>
        <v>27729</v>
      </c>
      <c r="L145" s="63">
        <f t="shared" si="87"/>
        <v>0</v>
      </c>
      <c r="M145" s="51">
        <f>K145</f>
        <v>27729</v>
      </c>
      <c r="N145" s="63">
        <f t="shared" si="88"/>
        <v>0</v>
      </c>
      <c r="O145" s="51">
        <f>M145</f>
        <v>27729</v>
      </c>
      <c r="P145" s="63">
        <f t="shared" si="89"/>
        <v>0</v>
      </c>
      <c r="Q145" s="51">
        <f t="shared" ref="Q145" si="101">O145</f>
        <v>27729</v>
      </c>
      <c r="R145" s="63">
        <f t="shared" si="90"/>
        <v>-1935.494999999999</v>
      </c>
      <c r="S145" s="63">
        <f t="shared" si="91"/>
        <v>-1935.494999999999</v>
      </c>
      <c r="T145" s="51">
        <f>Q145-1935.495</f>
        <v>25793.505000000001</v>
      </c>
      <c r="V145" s="47"/>
      <c r="W145" s="48"/>
    </row>
    <row r="146" spans="1:23" s="49" customFormat="1" ht="63" customHeight="1" x14ac:dyDescent="0.25">
      <c r="A146" s="44" t="s">
        <v>408</v>
      </c>
      <c r="B146" s="50" t="s">
        <v>409</v>
      </c>
      <c r="C146" s="51"/>
      <c r="D146" s="63">
        <f t="shared" si="83"/>
        <v>0</v>
      </c>
      <c r="E146" s="51"/>
      <c r="F146" s="63">
        <f t="shared" si="84"/>
        <v>0</v>
      </c>
      <c r="G146" s="51"/>
      <c r="H146" s="63">
        <f t="shared" si="85"/>
        <v>0</v>
      </c>
      <c r="I146" s="51"/>
      <c r="J146" s="63">
        <f t="shared" si="86"/>
        <v>0</v>
      </c>
      <c r="K146" s="51"/>
      <c r="L146" s="63">
        <f t="shared" si="87"/>
        <v>0</v>
      </c>
      <c r="M146" s="51"/>
      <c r="N146" s="63">
        <f t="shared" si="88"/>
        <v>128721.9</v>
      </c>
      <c r="O146" s="51">
        <f>O147</f>
        <v>128721.9</v>
      </c>
      <c r="P146" s="63">
        <f t="shared" si="89"/>
        <v>0</v>
      </c>
      <c r="Q146" s="51">
        <f>Q147</f>
        <v>128721.9</v>
      </c>
      <c r="R146" s="63">
        <f t="shared" si="90"/>
        <v>0</v>
      </c>
      <c r="S146" s="63">
        <f t="shared" si="91"/>
        <v>128721.9</v>
      </c>
      <c r="T146" s="51">
        <f>T147</f>
        <v>128721.9</v>
      </c>
      <c r="V146" s="47"/>
      <c r="W146" s="48"/>
    </row>
    <row r="147" spans="1:23" s="49" customFormat="1" ht="66.75" customHeight="1" x14ac:dyDescent="0.25">
      <c r="A147" s="44" t="s">
        <v>410</v>
      </c>
      <c r="B147" s="50" t="s">
        <v>411</v>
      </c>
      <c r="C147" s="51"/>
      <c r="D147" s="63">
        <f t="shared" si="83"/>
        <v>0</v>
      </c>
      <c r="E147" s="51"/>
      <c r="F147" s="63">
        <f t="shared" si="84"/>
        <v>0</v>
      </c>
      <c r="G147" s="51"/>
      <c r="H147" s="63">
        <f t="shared" si="85"/>
        <v>0</v>
      </c>
      <c r="I147" s="51"/>
      <c r="J147" s="63">
        <f t="shared" si="86"/>
        <v>0</v>
      </c>
      <c r="K147" s="51"/>
      <c r="L147" s="63">
        <f t="shared" si="87"/>
        <v>0</v>
      </c>
      <c r="M147" s="51"/>
      <c r="N147" s="63">
        <f t="shared" si="88"/>
        <v>128721.9</v>
      </c>
      <c r="O147" s="51">
        <v>128721.9</v>
      </c>
      <c r="P147" s="63">
        <f t="shared" si="89"/>
        <v>0</v>
      </c>
      <c r="Q147" s="51">
        <f>O147</f>
        <v>128721.9</v>
      </c>
      <c r="R147" s="63">
        <f t="shared" si="90"/>
        <v>0</v>
      </c>
      <c r="S147" s="63">
        <f t="shared" si="91"/>
        <v>128721.9</v>
      </c>
      <c r="T147" s="51">
        <f>Q147</f>
        <v>128721.9</v>
      </c>
      <c r="V147" s="47"/>
      <c r="W147" s="48"/>
    </row>
    <row r="148" spans="1:23" s="49" customFormat="1" ht="36" x14ac:dyDescent="0.25">
      <c r="A148" s="44" t="s">
        <v>412</v>
      </c>
      <c r="B148" s="50" t="s">
        <v>413</v>
      </c>
      <c r="C148" s="51">
        <f t="shared" ref="C148:T148" si="102">C149</f>
        <v>0</v>
      </c>
      <c r="D148" s="63">
        <f t="shared" si="83"/>
        <v>0</v>
      </c>
      <c r="E148" s="51">
        <f t="shared" si="102"/>
        <v>0</v>
      </c>
      <c r="F148" s="63">
        <f t="shared" si="84"/>
        <v>0</v>
      </c>
      <c r="G148" s="51">
        <f t="shared" si="102"/>
        <v>0</v>
      </c>
      <c r="H148" s="63">
        <f t="shared" si="85"/>
        <v>0</v>
      </c>
      <c r="I148" s="51">
        <f t="shared" si="102"/>
        <v>0</v>
      </c>
      <c r="J148" s="63">
        <f t="shared" si="86"/>
        <v>0</v>
      </c>
      <c r="K148" s="51">
        <f t="shared" si="102"/>
        <v>0</v>
      </c>
      <c r="L148" s="63">
        <f t="shared" si="87"/>
        <v>0</v>
      </c>
      <c r="M148" s="51"/>
      <c r="N148" s="63">
        <f t="shared" si="88"/>
        <v>0</v>
      </c>
      <c r="O148" s="51"/>
      <c r="P148" s="63">
        <f t="shared" si="89"/>
        <v>0</v>
      </c>
      <c r="Q148" s="51">
        <f t="shared" si="102"/>
        <v>0</v>
      </c>
      <c r="R148" s="63">
        <f t="shared" si="90"/>
        <v>0</v>
      </c>
      <c r="S148" s="63">
        <f t="shared" si="91"/>
        <v>0</v>
      </c>
      <c r="T148" s="51">
        <f t="shared" si="102"/>
        <v>0</v>
      </c>
      <c r="V148" s="47"/>
      <c r="W148" s="48"/>
    </row>
    <row r="149" spans="1:23" s="49" customFormat="1" ht="36" x14ac:dyDescent="0.25">
      <c r="A149" s="44" t="s">
        <v>414</v>
      </c>
      <c r="B149" s="50" t="s">
        <v>415</v>
      </c>
      <c r="C149" s="51"/>
      <c r="D149" s="63">
        <f t="shared" si="83"/>
        <v>0</v>
      </c>
      <c r="E149" s="51"/>
      <c r="F149" s="63">
        <f t="shared" si="84"/>
        <v>0</v>
      </c>
      <c r="G149" s="51"/>
      <c r="H149" s="63">
        <f t="shared" si="85"/>
        <v>0</v>
      </c>
      <c r="I149" s="51"/>
      <c r="J149" s="63">
        <f t="shared" si="86"/>
        <v>0</v>
      </c>
      <c r="K149" s="51"/>
      <c r="L149" s="63">
        <f t="shared" si="87"/>
        <v>0</v>
      </c>
      <c r="M149" s="51"/>
      <c r="N149" s="63">
        <f t="shared" si="88"/>
        <v>0</v>
      </c>
      <c r="O149" s="51"/>
      <c r="P149" s="63">
        <f t="shared" si="89"/>
        <v>0</v>
      </c>
      <c r="Q149" s="51"/>
      <c r="R149" s="63">
        <f t="shared" si="90"/>
        <v>0</v>
      </c>
      <c r="S149" s="63">
        <f t="shared" si="91"/>
        <v>0</v>
      </c>
      <c r="T149" s="51"/>
      <c r="V149" s="47"/>
      <c r="W149" s="48"/>
    </row>
    <row r="150" spans="1:23" s="49" customFormat="1" ht="24" x14ac:dyDescent="0.25">
      <c r="A150" s="44" t="s">
        <v>416</v>
      </c>
      <c r="B150" s="50" t="s">
        <v>417</v>
      </c>
      <c r="C150" s="51"/>
      <c r="D150" s="63">
        <f t="shared" si="83"/>
        <v>0</v>
      </c>
      <c r="E150" s="51"/>
      <c r="F150" s="63">
        <f t="shared" si="84"/>
        <v>0</v>
      </c>
      <c r="G150" s="51"/>
      <c r="H150" s="63">
        <f t="shared" si="85"/>
        <v>0</v>
      </c>
      <c r="I150" s="51"/>
      <c r="J150" s="63">
        <f t="shared" si="86"/>
        <v>0</v>
      </c>
      <c r="K150" s="51"/>
      <c r="L150" s="63">
        <f t="shared" si="87"/>
        <v>6050</v>
      </c>
      <c r="M150" s="51">
        <f>M151</f>
        <v>6050</v>
      </c>
      <c r="N150" s="63">
        <f t="shared" si="88"/>
        <v>0</v>
      </c>
      <c r="O150" s="51">
        <f>O151</f>
        <v>6050</v>
      </c>
      <c r="P150" s="63">
        <f t="shared" si="89"/>
        <v>0</v>
      </c>
      <c r="Q150" s="51">
        <f>Q151</f>
        <v>6050</v>
      </c>
      <c r="R150" s="63">
        <f t="shared" si="90"/>
        <v>0</v>
      </c>
      <c r="S150" s="63">
        <f t="shared" si="91"/>
        <v>6050</v>
      </c>
      <c r="T150" s="51">
        <f>T151</f>
        <v>6050</v>
      </c>
      <c r="V150" s="47"/>
      <c r="W150" s="48"/>
    </row>
    <row r="151" spans="1:23" s="49" customFormat="1" ht="29.25" customHeight="1" x14ac:dyDescent="0.25">
      <c r="A151" s="44" t="s">
        <v>416</v>
      </c>
      <c r="B151" s="50" t="s">
        <v>418</v>
      </c>
      <c r="C151" s="51"/>
      <c r="D151" s="63">
        <f t="shared" si="83"/>
        <v>0</v>
      </c>
      <c r="E151" s="51"/>
      <c r="F151" s="63">
        <f t="shared" si="84"/>
        <v>0</v>
      </c>
      <c r="G151" s="51"/>
      <c r="H151" s="63">
        <f t="shared" si="85"/>
        <v>0</v>
      </c>
      <c r="I151" s="51"/>
      <c r="J151" s="63">
        <f t="shared" si="86"/>
        <v>0</v>
      </c>
      <c r="K151" s="51"/>
      <c r="L151" s="63">
        <f t="shared" si="87"/>
        <v>6050</v>
      </c>
      <c r="M151" s="51">
        <v>6050</v>
      </c>
      <c r="N151" s="63">
        <f t="shared" si="88"/>
        <v>0</v>
      </c>
      <c r="O151" s="51">
        <f>M151</f>
        <v>6050</v>
      </c>
      <c r="P151" s="63">
        <f t="shared" si="89"/>
        <v>0</v>
      </c>
      <c r="Q151" s="51">
        <f>O151</f>
        <v>6050</v>
      </c>
      <c r="R151" s="63">
        <f t="shared" si="90"/>
        <v>0</v>
      </c>
      <c r="S151" s="63">
        <f t="shared" si="91"/>
        <v>6050</v>
      </c>
      <c r="T151" s="51">
        <f>Q151</f>
        <v>6050</v>
      </c>
      <c r="V151" s="47"/>
      <c r="W151" s="48"/>
    </row>
    <row r="152" spans="1:23" s="49" customFormat="1" ht="36" x14ac:dyDescent="0.25">
      <c r="A152" s="44" t="s">
        <v>215</v>
      </c>
      <c r="B152" s="50" t="s">
        <v>214</v>
      </c>
      <c r="C152" s="53">
        <v>0</v>
      </c>
      <c r="D152" s="63">
        <f t="shared" si="83"/>
        <v>0</v>
      </c>
      <c r="E152" s="53">
        <v>0</v>
      </c>
      <c r="F152" s="63">
        <f t="shared" si="84"/>
        <v>0</v>
      </c>
      <c r="G152" s="53">
        <v>0</v>
      </c>
      <c r="H152" s="63">
        <f t="shared" si="85"/>
        <v>0</v>
      </c>
      <c r="I152" s="53">
        <v>0</v>
      </c>
      <c r="J152" s="63">
        <f t="shared" si="86"/>
        <v>0</v>
      </c>
      <c r="K152" s="53">
        <v>0</v>
      </c>
      <c r="L152" s="63">
        <f t="shared" si="87"/>
        <v>0</v>
      </c>
      <c r="M152" s="53"/>
      <c r="N152" s="63">
        <f t="shared" si="88"/>
        <v>0</v>
      </c>
      <c r="O152" s="53"/>
      <c r="P152" s="63">
        <f t="shared" si="89"/>
        <v>0</v>
      </c>
      <c r="Q152" s="53">
        <v>0</v>
      </c>
      <c r="R152" s="63">
        <f t="shared" si="90"/>
        <v>0</v>
      </c>
      <c r="S152" s="63">
        <f t="shared" si="91"/>
        <v>0</v>
      </c>
      <c r="T152" s="53">
        <v>0</v>
      </c>
      <c r="V152" s="47"/>
      <c r="W152" s="48"/>
    </row>
    <row r="153" spans="1:23" s="49" customFormat="1" ht="36" x14ac:dyDescent="0.25">
      <c r="A153" s="44" t="s">
        <v>217</v>
      </c>
      <c r="B153" s="50" t="s">
        <v>216</v>
      </c>
      <c r="C153" s="53">
        <v>0</v>
      </c>
      <c r="D153" s="63">
        <f t="shared" si="83"/>
        <v>0</v>
      </c>
      <c r="E153" s="53">
        <v>0</v>
      </c>
      <c r="F153" s="63">
        <f t="shared" si="84"/>
        <v>0</v>
      </c>
      <c r="G153" s="53">
        <v>0</v>
      </c>
      <c r="H153" s="63">
        <f t="shared" si="85"/>
        <v>0</v>
      </c>
      <c r="I153" s="53">
        <v>0</v>
      </c>
      <c r="J153" s="63">
        <f t="shared" si="86"/>
        <v>0</v>
      </c>
      <c r="K153" s="53">
        <v>0</v>
      </c>
      <c r="L153" s="63">
        <f t="shared" si="87"/>
        <v>0</v>
      </c>
      <c r="M153" s="53"/>
      <c r="N153" s="63">
        <f t="shared" si="88"/>
        <v>0</v>
      </c>
      <c r="O153" s="53"/>
      <c r="P153" s="63">
        <f t="shared" si="89"/>
        <v>0</v>
      </c>
      <c r="Q153" s="53">
        <v>0</v>
      </c>
      <c r="R153" s="63">
        <f t="shared" si="90"/>
        <v>0</v>
      </c>
      <c r="S153" s="63">
        <f t="shared" si="91"/>
        <v>0</v>
      </c>
      <c r="T153" s="53">
        <v>0</v>
      </c>
      <c r="V153" s="47"/>
      <c r="W153" s="48"/>
    </row>
    <row r="154" spans="1:23" s="49" customFormat="1" ht="39" customHeight="1" x14ac:dyDescent="0.25">
      <c r="A154" s="44" t="s">
        <v>419</v>
      </c>
      <c r="B154" s="50" t="s">
        <v>420</v>
      </c>
      <c r="C154" s="53"/>
      <c r="D154" s="63">
        <f t="shared" si="83"/>
        <v>0</v>
      </c>
      <c r="E154" s="53"/>
      <c r="F154" s="63">
        <f t="shared" si="84"/>
        <v>0</v>
      </c>
      <c r="G154" s="53"/>
      <c r="H154" s="63">
        <f t="shared" si="85"/>
        <v>0</v>
      </c>
      <c r="I154" s="53"/>
      <c r="J154" s="63">
        <f t="shared" si="86"/>
        <v>0</v>
      </c>
      <c r="K154" s="53"/>
      <c r="L154" s="63">
        <f t="shared" si="87"/>
        <v>0</v>
      </c>
      <c r="M154" s="53"/>
      <c r="N154" s="63">
        <f t="shared" si="88"/>
        <v>0</v>
      </c>
      <c r="O154" s="53"/>
      <c r="P154" s="63">
        <f t="shared" si="89"/>
        <v>0</v>
      </c>
      <c r="Q154" s="53"/>
      <c r="R154" s="63">
        <f t="shared" si="90"/>
        <v>0</v>
      </c>
      <c r="S154" s="63">
        <f t="shared" si="91"/>
        <v>0</v>
      </c>
      <c r="T154" s="53"/>
      <c r="V154" s="47"/>
      <c r="W154" s="48"/>
    </row>
    <row r="155" spans="1:23" s="49" customFormat="1" ht="36" x14ac:dyDescent="0.25">
      <c r="A155" s="44" t="s">
        <v>219</v>
      </c>
      <c r="B155" s="50" t="s">
        <v>218</v>
      </c>
      <c r="C155" s="53">
        <v>0</v>
      </c>
      <c r="D155" s="63">
        <f t="shared" si="83"/>
        <v>0</v>
      </c>
      <c r="E155" s="53">
        <v>0</v>
      </c>
      <c r="F155" s="63">
        <f t="shared" si="84"/>
        <v>0</v>
      </c>
      <c r="G155" s="53">
        <v>0</v>
      </c>
      <c r="H155" s="63">
        <f t="shared" si="85"/>
        <v>0</v>
      </c>
      <c r="I155" s="53">
        <v>0</v>
      </c>
      <c r="J155" s="63">
        <f t="shared" si="86"/>
        <v>0</v>
      </c>
      <c r="K155" s="53">
        <v>0</v>
      </c>
      <c r="L155" s="63">
        <f t="shared" si="87"/>
        <v>0</v>
      </c>
      <c r="M155" s="53"/>
      <c r="N155" s="63">
        <f t="shared" si="88"/>
        <v>0</v>
      </c>
      <c r="O155" s="53"/>
      <c r="P155" s="63">
        <f t="shared" si="89"/>
        <v>0</v>
      </c>
      <c r="Q155" s="53">
        <v>0</v>
      </c>
      <c r="R155" s="63">
        <f t="shared" si="90"/>
        <v>0</v>
      </c>
      <c r="S155" s="63">
        <f t="shared" si="91"/>
        <v>0</v>
      </c>
      <c r="T155" s="53">
        <v>0</v>
      </c>
      <c r="V155" s="47"/>
      <c r="W155" s="48"/>
    </row>
    <row r="156" spans="1:23" ht="15" customHeight="1" x14ac:dyDescent="0.25">
      <c r="A156" s="40"/>
      <c r="B156" s="40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2"/>
    </row>
  </sheetData>
  <mergeCells count="1">
    <mergeCell ref="A1:T1"/>
  </mergeCells>
  <pageMargins left="0.39374999999999999" right="0.39374999999999999" top="0.39374999999999999" bottom="0.39374999999999999" header="0.51180550000000002" footer="0.51180550000000002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C1" zoomScale="90" zoomScaleNormal="90" workbookViewId="0">
      <selection activeCell="F5" sqref="F5"/>
    </sheetView>
  </sheetViews>
  <sheetFormatPr defaultRowHeight="15" x14ac:dyDescent="0.25"/>
  <cols>
    <col min="1" max="1" width="11.5703125" style="1" customWidth="1"/>
    <col min="2" max="2" width="53.85546875" style="1" customWidth="1"/>
    <col min="3" max="4" width="17.28515625" style="1" customWidth="1"/>
    <col min="5" max="5" width="16.85546875" style="1" customWidth="1"/>
    <col min="6" max="6" width="17.7109375" style="1" customWidth="1"/>
    <col min="7" max="7" width="16.85546875" style="1" customWidth="1"/>
    <col min="8" max="8" width="17.42578125" style="1" customWidth="1"/>
    <col min="9" max="9" width="17.7109375" style="1" customWidth="1"/>
    <col min="10" max="10" width="17.28515625" style="1" customWidth="1"/>
    <col min="11" max="11" width="16.85546875" style="1" customWidth="1"/>
    <col min="12" max="12" width="15.140625" style="1" customWidth="1"/>
    <col min="13" max="13" width="20.140625" style="1" customWidth="1"/>
    <col min="14" max="257" width="9.140625" style="1"/>
    <col min="258" max="258" width="11.5703125" style="1" customWidth="1"/>
    <col min="259" max="259" width="53.85546875" style="1" customWidth="1"/>
    <col min="260" max="260" width="17.28515625" style="1" customWidth="1"/>
    <col min="261" max="261" width="17.7109375" style="1" customWidth="1"/>
    <col min="262" max="262" width="16" style="1" customWidth="1"/>
    <col min="263" max="263" width="16.85546875" style="1" customWidth="1"/>
    <col min="264" max="264" width="16.140625" style="1" customWidth="1"/>
    <col min="265" max="265" width="15.85546875" style="1" customWidth="1"/>
    <col min="266" max="266" width="16" style="1" customWidth="1"/>
    <col min="267" max="267" width="17.28515625" style="1" customWidth="1"/>
    <col min="268" max="268" width="18.42578125" style="1" customWidth="1"/>
    <col min="269" max="269" width="21.7109375" style="1" customWidth="1"/>
    <col min="270" max="513" width="9.140625" style="1"/>
    <col min="514" max="514" width="11.5703125" style="1" customWidth="1"/>
    <col min="515" max="515" width="53.85546875" style="1" customWidth="1"/>
    <col min="516" max="516" width="17.28515625" style="1" customWidth="1"/>
    <col min="517" max="517" width="17.7109375" style="1" customWidth="1"/>
    <col min="518" max="518" width="16" style="1" customWidth="1"/>
    <col min="519" max="519" width="16.85546875" style="1" customWidth="1"/>
    <col min="520" max="520" width="16.140625" style="1" customWidth="1"/>
    <col min="521" max="521" width="15.85546875" style="1" customWidth="1"/>
    <col min="522" max="522" width="16" style="1" customWidth="1"/>
    <col min="523" max="523" width="17.28515625" style="1" customWidth="1"/>
    <col min="524" max="524" width="18.42578125" style="1" customWidth="1"/>
    <col min="525" max="525" width="21.7109375" style="1" customWidth="1"/>
    <col min="526" max="769" width="9.140625" style="1"/>
    <col min="770" max="770" width="11.5703125" style="1" customWidth="1"/>
    <col min="771" max="771" width="53.85546875" style="1" customWidth="1"/>
    <col min="772" max="772" width="17.28515625" style="1" customWidth="1"/>
    <col min="773" max="773" width="17.7109375" style="1" customWidth="1"/>
    <col min="774" max="774" width="16" style="1" customWidth="1"/>
    <col min="775" max="775" width="16.85546875" style="1" customWidth="1"/>
    <col min="776" max="776" width="16.140625" style="1" customWidth="1"/>
    <col min="777" max="777" width="15.85546875" style="1" customWidth="1"/>
    <col min="778" max="778" width="16" style="1" customWidth="1"/>
    <col min="779" max="779" width="17.28515625" style="1" customWidth="1"/>
    <col min="780" max="780" width="18.42578125" style="1" customWidth="1"/>
    <col min="781" max="781" width="21.7109375" style="1" customWidth="1"/>
    <col min="782" max="1025" width="9.140625" style="1"/>
    <col min="1026" max="1026" width="11.5703125" style="1" customWidth="1"/>
    <col min="1027" max="1027" width="53.85546875" style="1" customWidth="1"/>
    <col min="1028" max="1028" width="17.28515625" style="1" customWidth="1"/>
    <col min="1029" max="1029" width="17.7109375" style="1" customWidth="1"/>
    <col min="1030" max="1030" width="16" style="1" customWidth="1"/>
    <col min="1031" max="1031" width="16.85546875" style="1" customWidth="1"/>
    <col min="1032" max="1032" width="16.140625" style="1" customWidth="1"/>
    <col min="1033" max="1033" width="15.85546875" style="1" customWidth="1"/>
    <col min="1034" max="1034" width="16" style="1" customWidth="1"/>
    <col min="1035" max="1035" width="17.28515625" style="1" customWidth="1"/>
    <col min="1036" max="1036" width="18.42578125" style="1" customWidth="1"/>
    <col min="1037" max="1037" width="21.7109375" style="1" customWidth="1"/>
    <col min="1038" max="1281" width="9.140625" style="1"/>
    <col min="1282" max="1282" width="11.5703125" style="1" customWidth="1"/>
    <col min="1283" max="1283" width="53.85546875" style="1" customWidth="1"/>
    <col min="1284" max="1284" width="17.28515625" style="1" customWidth="1"/>
    <col min="1285" max="1285" width="17.7109375" style="1" customWidth="1"/>
    <col min="1286" max="1286" width="16" style="1" customWidth="1"/>
    <col min="1287" max="1287" width="16.85546875" style="1" customWidth="1"/>
    <col min="1288" max="1288" width="16.140625" style="1" customWidth="1"/>
    <col min="1289" max="1289" width="15.85546875" style="1" customWidth="1"/>
    <col min="1290" max="1290" width="16" style="1" customWidth="1"/>
    <col min="1291" max="1291" width="17.28515625" style="1" customWidth="1"/>
    <col min="1292" max="1292" width="18.42578125" style="1" customWidth="1"/>
    <col min="1293" max="1293" width="21.7109375" style="1" customWidth="1"/>
    <col min="1294" max="1537" width="9.140625" style="1"/>
    <col min="1538" max="1538" width="11.5703125" style="1" customWidth="1"/>
    <col min="1539" max="1539" width="53.85546875" style="1" customWidth="1"/>
    <col min="1540" max="1540" width="17.28515625" style="1" customWidth="1"/>
    <col min="1541" max="1541" width="17.7109375" style="1" customWidth="1"/>
    <col min="1542" max="1542" width="16" style="1" customWidth="1"/>
    <col min="1543" max="1543" width="16.85546875" style="1" customWidth="1"/>
    <col min="1544" max="1544" width="16.140625" style="1" customWidth="1"/>
    <col min="1545" max="1545" width="15.85546875" style="1" customWidth="1"/>
    <col min="1546" max="1546" width="16" style="1" customWidth="1"/>
    <col min="1547" max="1547" width="17.28515625" style="1" customWidth="1"/>
    <col min="1548" max="1548" width="18.42578125" style="1" customWidth="1"/>
    <col min="1549" max="1549" width="21.7109375" style="1" customWidth="1"/>
    <col min="1550" max="1793" width="9.140625" style="1"/>
    <col min="1794" max="1794" width="11.5703125" style="1" customWidth="1"/>
    <col min="1795" max="1795" width="53.85546875" style="1" customWidth="1"/>
    <col min="1796" max="1796" width="17.28515625" style="1" customWidth="1"/>
    <col min="1797" max="1797" width="17.7109375" style="1" customWidth="1"/>
    <col min="1798" max="1798" width="16" style="1" customWidth="1"/>
    <col min="1799" max="1799" width="16.85546875" style="1" customWidth="1"/>
    <col min="1800" max="1800" width="16.140625" style="1" customWidth="1"/>
    <col min="1801" max="1801" width="15.85546875" style="1" customWidth="1"/>
    <col min="1802" max="1802" width="16" style="1" customWidth="1"/>
    <col min="1803" max="1803" width="17.28515625" style="1" customWidth="1"/>
    <col min="1804" max="1804" width="18.42578125" style="1" customWidth="1"/>
    <col min="1805" max="1805" width="21.7109375" style="1" customWidth="1"/>
    <col min="1806" max="2049" width="9.140625" style="1"/>
    <col min="2050" max="2050" width="11.5703125" style="1" customWidth="1"/>
    <col min="2051" max="2051" width="53.85546875" style="1" customWidth="1"/>
    <col min="2052" max="2052" width="17.28515625" style="1" customWidth="1"/>
    <col min="2053" max="2053" width="17.7109375" style="1" customWidth="1"/>
    <col min="2054" max="2054" width="16" style="1" customWidth="1"/>
    <col min="2055" max="2055" width="16.85546875" style="1" customWidth="1"/>
    <col min="2056" max="2056" width="16.140625" style="1" customWidth="1"/>
    <col min="2057" max="2057" width="15.85546875" style="1" customWidth="1"/>
    <col min="2058" max="2058" width="16" style="1" customWidth="1"/>
    <col min="2059" max="2059" width="17.28515625" style="1" customWidth="1"/>
    <col min="2060" max="2060" width="18.42578125" style="1" customWidth="1"/>
    <col min="2061" max="2061" width="21.7109375" style="1" customWidth="1"/>
    <col min="2062" max="2305" width="9.140625" style="1"/>
    <col min="2306" max="2306" width="11.5703125" style="1" customWidth="1"/>
    <col min="2307" max="2307" width="53.85546875" style="1" customWidth="1"/>
    <col min="2308" max="2308" width="17.28515625" style="1" customWidth="1"/>
    <col min="2309" max="2309" width="17.7109375" style="1" customWidth="1"/>
    <col min="2310" max="2310" width="16" style="1" customWidth="1"/>
    <col min="2311" max="2311" width="16.85546875" style="1" customWidth="1"/>
    <col min="2312" max="2312" width="16.140625" style="1" customWidth="1"/>
    <col min="2313" max="2313" width="15.85546875" style="1" customWidth="1"/>
    <col min="2314" max="2314" width="16" style="1" customWidth="1"/>
    <col min="2315" max="2315" width="17.28515625" style="1" customWidth="1"/>
    <col min="2316" max="2316" width="18.42578125" style="1" customWidth="1"/>
    <col min="2317" max="2317" width="21.7109375" style="1" customWidth="1"/>
    <col min="2318" max="2561" width="9.140625" style="1"/>
    <col min="2562" max="2562" width="11.5703125" style="1" customWidth="1"/>
    <col min="2563" max="2563" width="53.85546875" style="1" customWidth="1"/>
    <col min="2564" max="2564" width="17.28515625" style="1" customWidth="1"/>
    <col min="2565" max="2565" width="17.7109375" style="1" customWidth="1"/>
    <col min="2566" max="2566" width="16" style="1" customWidth="1"/>
    <col min="2567" max="2567" width="16.85546875" style="1" customWidth="1"/>
    <col min="2568" max="2568" width="16.140625" style="1" customWidth="1"/>
    <col min="2569" max="2569" width="15.85546875" style="1" customWidth="1"/>
    <col min="2570" max="2570" width="16" style="1" customWidth="1"/>
    <col min="2571" max="2571" width="17.28515625" style="1" customWidth="1"/>
    <col min="2572" max="2572" width="18.42578125" style="1" customWidth="1"/>
    <col min="2573" max="2573" width="21.7109375" style="1" customWidth="1"/>
    <col min="2574" max="2817" width="9.140625" style="1"/>
    <col min="2818" max="2818" width="11.5703125" style="1" customWidth="1"/>
    <col min="2819" max="2819" width="53.85546875" style="1" customWidth="1"/>
    <col min="2820" max="2820" width="17.28515625" style="1" customWidth="1"/>
    <col min="2821" max="2821" width="17.7109375" style="1" customWidth="1"/>
    <col min="2822" max="2822" width="16" style="1" customWidth="1"/>
    <col min="2823" max="2823" width="16.85546875" style="1" customWidth="1"/>
    <col min="2824" max="2824" width="16.140625" style="1" customWidth="1"/>
    <col min="2825" max="2825" width="15.85546875" style="1" customWidth="1"/>
    <col min="2826" max="2826" width="16" style="1" customWidth="1"/>
    <col min="2827" max="2827" width="17.28515625" style="1" customWidth="1"/>
    <col min="2828" max="2828" width="18.42578125" style="1" customWidth="1"/>
    <col min="2829" max="2829" width="21.7109375" style="1" customWidth="1"/>
    <col min="2830" max="3073" width="9.140625" style="1"/>
    <col min="3074" max="3074" width="11.5703125" style="1" customWidth="1"/>
    <col min="3075" max="3075" width="53.85546875" style="1" customWidth="1"/>
    <col min="3076" max="3076" width="17.28515625" style="1" customWidth="1"/>
    <col min="3077" max="3077" width="17.7109375" style="1" customWidth="1"/>
    <col min="3078" max="3078" width="16" style="1" customWidth="1"/>
    <col min="3079" max="3079" width="16.85546875" style="1" customWidth="1"/>
    <col min="3080" max="3080" width="16.140625" style="1" customWidth="1"/>
    <col min="3081" max="3081" width="15.85546875" style="1" customWidth="1"/>
    <col min="3082" max="3082" width="16" style="1" customWidth="1"/>
    <col min="3083" max="3083" width="17.28515625" style="1" customWidth="1"/>
    <col min="3084" max="3084" width="18.42578125" style="1" customWidth="1"/>
    <col min="3085" max="3085" width="21.7109375" style="1" customWidth="1"/>
    <col min="3086" max="3329" width="9.140625" style="1"/>
    <col min="3330" max="3330" width="11.5703125" style="1" customWidth="1"/>
    <col min="3331" max="3331" width="53.85546875" style="1" customWidth="1"/>
    <col min="3332" max="3332" width="17.28515625" style="1" customWidth="1"/>
    <col min="3333" max="3333" width="17.7109375" style="1" customWidth="1"/>
    <col min="3334" max="3334" width="16" style="1" customWidth="1"/>
    <col min="3335" max="3335" width="16.85546875" style="1" customWidth="1"/>
    <col min="3336" max="3336" width="16.140625" style="1" customWidth="1"/>
    <col min="3337" max="3337" width="15.85546875" style="1" customWidth="1"/>
    <col min="3338" max="3338" width="16" style="1" customWidth="1"/>
    <col min="3339" max="3339" width="17.28515625" style="1" customWidth="1"/>
    <col min="3340" max="3340" width="18.42578125" style="1" customWidth="1"/>
    <col min="3341" max="3341" width="21.7109375" style="1" customWidth="1"/>
    <col min="3342" max="3585" width="9.140625" style="1"/>
    <col min="3586" max="3586" width="11.5703125" style="1" customWidth="1"/>
    <col min="3587" max="3587" width="53.85546875" style="1" customWidth="1"/>
    <col min="3588" max="3588" width="17.28515625" style="1" customWidth="1"/>
    <col min="3589" max="3589" width="17.7109375" style="1" customWidth="1"/>
    <col min="3590" max="3590" width="16" style="1" customWidth="1"/>
    <col min="3591" max="3591" width="16.85546875" style="1" customWidth="1"/>
    <col min="3592" max="3592" width="16.140625" style="1" customWidth="1"/>
    <col min="3593" max="3593" width="15.85546875" style="1" customWidth="1"/>
    <col min="3594" max="3594" width="16" style="1" customWidth="1"/>
    <col min="3595" max="3595" width="17.28515625" style="1" customWidth="1"/>
    <col min="3596" max="3596" width="18.42578125" style="1" customWidth="1"/>
    <col min="3597" max="3597" width="21.7109375" style="1" customWidth="1"/>
    <col min="3598" max="3841" width="9.140625" style="1"/>
    <col min="3842" max="3842" width="11.5703125" style="1" customWidth="1"/>
    <col min="3843" max="3843" width="53.85546875" style="1" customWidth="1"/>
    <col min="3844" max="3844" width="17.28515625" style="1" customWidth="1"/>
    <col min="3845" max="3845" width="17.7109375" style="1" customWidth="1"/>
    <col min="3846" max="3846" width="16" style="1" customWidth="1"/>
    <col min="3847" max="3847" width="16.85546875" style="1" customWidth="1"/>
    <col min="3848" max="3848" width="16.140625" style="1" customWidth="1"/>
    <col min="3849" max="3849" width="15.85546875" style="1" customWidth="1"/>
    <col min="3850" max="3850" width="16" style="1" customWidth="1"/>
    <col min="3851" max="3851" width="17.28515625" style="1" customWidth="1"/>
    <col min="3852" max="3852" width="18.42578125" style="1" customWidth="1"/>
    <col min="3853" max="3853" width="21.7109375" style="1" customWidth="1"/>
    <col min="3854" max="4097" width="9.140625" style="1"/>
    <col min="4098" max="4098" width="11.5703125" style="1" customWidth="1"/>
    <col min="4099" max="4099" width="53.85546875" style="1" customWidth="1"/>
    <col min="4100" max="4100" width="17.28515625" style="1" customWidth="1"/>
    <col min="4101" max="4101" width="17.7109375" style="1" customWidth="1"/>
    <col min="4102" max="4102" width="16" style="1" customWidth="1"/>
    <col min="4103" max="4103" width="16.85546875" style="1" customWidth="1"/>
    <col min="4104" max="4104" width="16.140625" style="1" customWidth="1"/>
    <col min="4105" max="4105" width="15.85546875" style="1" customWidth="1"/>
    <col min="4106" max="4106" width="16" style="1" customWidth="1"/>
    <col min="4107" max="4107" width="17.28515625" style="1" customWidth="1"/>
    <col min="4108" max="4108" width="18.42578125" style="1" customWidth="1"/>
    <col min="4109" max="4109" width="21.7109375" style="1" customWidth="1"/>
    <col min="4110" max="4353" width="9.140625" style="1"/>
    <col min="4354" max="4354" width="11.5703125" style="1" customWidth="1"/>
    <col min="4355" max="4355" width="53.85546875" style="1" customWidth="1"/>
    <col min="4356" max="4356" width="17.28515625" style="1" customWidth="1"/>
    <col min="4357" max="4357" width="17.7109375" style="1" customWidth="1"/>
    <col min="4358" max="4358" width="16" style="1" customWidth="1"/>
    <col min="4359" max="4359" width="16.85546875" style="1" customWidth="1"/>
    <col min="4360" max="4360" width="16.140625" style="1" customWidth="1"/>
    <col min="4361" max="4361" width="15.85546875" style="1" customWidth="1"/>
    <col min="4362" max="4362" width="16" style="1" customWidth="1"/>
    <col min="4363" max="4363" width="17.28515625" style="1" customWidth="1"/>
    <col min="4364" max="4364" width="18.42578125" style="1" customWidth="1"/>
    <col min="4365" max="4365" width="21.7109375" style="1" customWidth="1"/>
    <col min="4366" max="4609" width="9.140625" style="1"/>
    <col min="4610" max="4610" width="11.5703125" style="1" customWidth="1"/>
    <col min="4611" max="4611" width="53.85546875" style="1" customWidth="1"/>
    <col min="4612" max="4612" width="17.28515625" style="1" customWidth="1"/>
    <col min="4613" max="4613" width="17.7109375" style="1" customWidth="1"/>
    <col min="4614" max="4614" width="16" style="1" customWidth="1"/>
    <col min="4615" max="4615" width="16.85546875" style="1" customWidth="1"/>
    <col min="4616" max="4616" width="16.140625" style="1" customWidth="1"/>
    <col min="4617" max="4617" width="15.85546875" style="1" customWidth="1"/>
    <col min="4618" max="4618" width="16" style="1" customWidth="1"/>
    <col min="4619" max="4619" width="17.28515625" style="1" customWidth="1"/>
    <col min="4620" max="4620" width="18.42578125" style="1" customWidth="1"/>
    <col min="4621" max="4621" width="21.7109375" style="1" customWidth="1"/>
    <col min="4622" max="4865" width="9.140625" style="1"/>
    <col min="4866" max="4866" width="11.5703125" style="1" customWidth="1"/>
    <col min="4867" max="4867" width="53.85546875" style="1" customWidth="1"/>
    <col min="4868" max="4868" width="17.28515625" style="1" customWidth="1"/>
    <col min="4869" max="4869" width="17.7109375" style="1" customWidth="1"/>
    <col min="4870" max="4870" width="16" style="1" customWidth="1"/>
    <col min="4871" max="4871" width="16.85546875" style="1" customWidth="1"/>
    <col min="4872" max="4872" width="16.140625" style="1" customWidth="1"/>
    <col min="4873" max="4873" width="15.85546875" style="1" customWidth="1"/>
    <col min="4874" max="4874" width="16" style="1" customWidth="1"/>
    <col min="4875" max="4875" width="17.28515625" style="1" customWidth="1"/>
    <col min="4876" max="4876" width="18.42578125" style="1" customWidth="1"/>
    <col min="4877" max="4877" width="21.7109375" style="1" customWidth="1"/>
    <col min="4878" max="5121" width="9.140625" style="1"/>
    <col min="5122" max="5122" width="11.5703125" style="1" customWidth="1"/>
    <col min="5123" max="5123" width="53.85546875" style="1" customWidth="1"/>
    <col min="5124" max="5124" width="17.28515625" style="1" customWidth="1"/>
    <col min="5125" max="5125" width="17.7109375" style="1" customWidth="1"/>
    <col min="5126" max="5126" width="16" style="1" customWidth="1"/>
    <col min="5127" max="5127" width="16.85546875" style="1" customWidth="1"/>
    <col min="5128" max="5128" width="16.140625" style="1" customWidth="1"/>
    <col min="5129" max="5129" width="15.85546875" style="1" customWidth="1"/>
    <col min="5130" max="5130" width="16" style="1" customWidth="1"/>
    <col min="5131" max="5131" width="17.28515625" style="1" customWidth="1"/>
    <col min="5132" max="5132" width="18.42578125" style="1" customWidth="1"/>
    <col min="5133" max="5133" width="21.7109375" style="1" customWidth="1"/>
    <col min="5134" max="5377" width="9.140625" style="1"/>
    <col min="5378" max="5378" width="11.5703125" style="1" customWidth="1"/>
    <col min="5379" max="5379" width="53.85546875" style="1" customWidth="1"/>
    <col min="5380" max="5380" width="17.28515625" style="1" customWidth="1"/>
    <col min="5381" max="5381" width="17.7109375" style="1" customWidth="1"/>
    <col min="5382" max="5382" width="16" style="1" customWidth="1"/>
    <col min="5383" max="5383" width="16.85546875" style="1" customWidth="1"/>
    <col min="5384" max="5384" width="16.140625" style="1" customWidth="1"/>
    <col min="5385" max="5385" width="15.85546875" style="1" customWidth="1"/>
    <col min="5386" max="5386" width="16" style="1" customWidth="1"/>
    <col min="5387" max="5387" width="17.28515625" style="1" customWidth="1"/>
    <col min="5388" max="5388" width="18.42578125" style="1" customWidth="1"/>
    <col min="5389" max="5389" width="21.7109375" style="1" customWidth="1"/>
    <col min="5390" max="5633" width="9.140625" style="1"/>
    <col min="5634" max="5634" width="11.5703125" style="1" customWidth="1"/>
    <col min="5635" max="5635" width="53.85546875" style="1" customWidth="1"/>
    <col min="5636" max="5636" width="17.28515625" style="1" customWidth="1"/>
    <col min="5637" max="5637" width="17.7109375" style="1" customWidth="1"/>
    <col min="5638" max="5638" width="16" style="1" customWidth="1"/>
    <col min="5639" max="5639" width="16.85546875" style="1" customWidth="1"/>
    <col min="5640" max="5640" width="16.140625" style="1" customWidth="1"/>
    <col min="5641" max="5641" width="15.85546875" style="1" customWidth="1"/>
    <col min="5642" max="5642" width="16" style="1" customWidth="1"/>
    <col min="5643" max="5643" width="17.28515625" style="1" customWidth="1"/>
    <col min="5644" max="5644" width="18.42578125" style="1" customWidth="1"/>
    <col min="5645" max="5645" width="21.7109375" style="1" customWidth="1"/>
    <col min="5646" max="5889" width="9.140625" style="1"/>
    <col min="5890" max="5890" width="11.5703125" style="1" customWidth="1"/>
    <col min="5891" max="5891" width="53.85546875" style="1" customWidth="1"/>
    <col min="5892" max="5892" width="17.28515625" style="1" customWidth="1"/>
    <col min="5893" max="5893" width="17.7109375" style="1" customWidth="1"/>
    <col min="5894" max="5894" width="16" style="1" customWidth="1"/>
    <col min="5895" max="5895" width="16.85546875" style="1" customWidth="1"/>
    <col min="5896" max="5896" width="16.140625" style="1" customWidth="1"/>
    <col min="5897" max="5897" width="15.85546875" style="1" customWidth="1"/>
    <col min="5898" max="5898" width="16" style="1" customWidth="1"/>
    <col min="5899" max="5899" width="17.28515625" style="1" customWidth="1"/>
    <col min="5900" max="5900" width="18.42578125" style="1" customWidth="1"/>
    <col min="5901" max="5901" width="21.7109375" style="1" customWidth="1"/>
    <col min="5902" max="6145" width="9.140625" style="1"/>
    <col min="6146" max="6146" width="11.5703125" style="1" customWidth="1"/>
    <col min="6147" max="6147" width="53.85546875" style="1" customWidth="1"/>
    <col min="6148" max="6148" width="17.28515625" style="1" customWidth="1"/>
    <col min="6149" max="6149" width="17.7109375" style="1" customWidth="1"/>
    <col min="6150" max="6150" width="16" style="1" customWidth="1"/>
    <col min="6151" max="6151" width="16.85546875" style="1" customWidth="1"/>
    <col min="6152" max="6152" width="16.140625" style="1" customWidth="1"/>
    <col min="6153" max="6153" width="15.85546875" style="1" customWidth="1"/>
    <col min="6154" max="6154" width="16" style="1" customWidth="1"/>
    <col min="6155" max="6155" width="17.28515625" style="1" customWidth="1"/>
    <col min="6156" max="6156" width="18.42578125" style="1" customWidth="1"/>
    <col min="6157" max="6157" width="21.7109375" style="1" customWidth="1"/>
    <col min="6158" max="6401" width="9.140625" style="1"/>
    <col min="6402" max="6402" width="11.5703125" style="1" customWidth="1"/>
    <col min="6403" max="6403" width="53.85546875" style="1" customWidth="1"/>
    <col min="6404" max="6404" width="17.28515625" style="1" customWidth="1"/>
    <col min="6405" max="6405" width="17.7109375" style="1" customWidth="1"/>
    <col min="6406" max="6406" width="16" style="1" customWidth="1"/>
    <col min="6407" max="6407" width="16.85546875" style="1" customWidth="1"/>
    <col min="6408" max="6408" width="16.140625" style="1" customWidth="1"/>
    <col min="6409" max="6409" width="15.85546875" style="1" customWidth="1"/>
    <col min="6410" max="6410" width="16" style="1" customWidth="1"/>
    <col min="6411" max="6411" width="17.28515625" style="1" customWidth="1"/>
    <col min="6412" max="6412" width="18.42578125" style="1" customWidth="1"/>
    <col min="6413" max="6413" width="21.7109375" style="1" customWidth="1"/>
    <col min="6414" max="6657" width="9.140625" style="1"/>
    <col min="6658" max="6658" width="11.5703125" style="1" customWidth="1"/>
    <col min="6659" max="6659" width="53.85546875" style="1" customWidth="1"/>
    <col min="6660" max="6660" width="17.28515625" style="1" customWidth="1"/>
    <col min="6661" max="6661" width="17.7109375" style="1" customWidth="1"/>
    <col min="6662" max="6662" width="16" style="1" customWidth="1"/>
    <col min="6663" max="6663" width="16.85546875" style="1" customWidth="1"/>
    <col min="6664" max="6664" width="16.140625" style="1" customWidth="1"/>
    <col min="6665" max="6665" width="15.85546875" style="1" customWidth="1"/>
    <col min="6666" max="6666" width="16" style="1" customWidth="1"/>
    <col min="6667" max="6667" width="17.28515625" style="1" customWidth="1"/>
    <col min="6668" max="6668" width="18.42578125" style="1" customWidth="1"/>
    <col min="6669" max="6669" width="21.7109375" style="1" customWidth="1"/>
    <col min="6670" max="6913" width="9.140625" style="1"/>
    <col min="6914" max="6914" width="11.5703125" style="1" customWidth="1"/>
    <col min="6915" max="6915" width="53.85546875" style="1" customWidth="1"/>
    <col min="6916" max="6916" width="17.28515625" style="1" customWidth="1"/>
    <col min="6917" max="6917" width="17.7109375" style="1" customWidth="1"/>
    <col min="6918" max="6918" width="16" style="1" customWidth="1"/>
    <col min="6919" max="6919" width="16.85546875" style="1" customWidth="1"/>
    <col min="6920" max="6920" width="16.140625" style="1" customWidth="1"/>
    <col min="6921" max="6921" width="15.85546875" style="1" customWidth="1"/>
    <col min="6922" max="6922" width="16" style="1" customWidth="1"/>
    <col min="6923" max="6923" width="17.28515625" style="1" customWidth="1"/>
    <col min="6924" max="6924" width="18.42578125" style="1" customWidth="1"/>
    <col min="6925" max="6925" width="21.7109375" style="1" customWidth="1"/>
    <col min="6926" max="7169" width="9.140625" style="1"/>
    <col min="7170" max="7170" width="11.5703125" style="1" customWidth="1"/>
    <col min="7171" max="7171" width="53.85546875" style="1" customWidth="1"/>
    <col min="7172" max="7172" width="17.28515625" style="1" customWidth="1"/>
    <col min="7173" max="7173" width="17.7109375" style="1" customWidth="1"/>
    <col min="7174" max="7174" width="16" style="1" customWidth="1"/>
    <col min="7175" max="7175" width="16.85546875" style="1" customWidth="1"/>
    <col min="7176" max="7176" width="16.140625" style="1" customWidth="1"/>
    <col min="7177" max="7177" width="15.85546875" style="1" customWidth="1"/>
    <col min="7178" max="7178" width="16" style="1" customWidth="1"/>
    <col min="7179" max="7179" width="17.28515625" style="1" customWidth="1"/>
    <col min="7180" max="7180" width="18.42578125" style="1" customWidth="1"/>
    <col min="7181" max="7181" width="21.7109375" style="1" customWidth="1"/>
    <col min="7182" max="7425" width="9.140625" style="1"/>
    <col min="7426" max="7426" width="11.5703125" style="1" customWidth="1"/>
    <col min="7427" max="7427" width="53.85546875" style="1" customWidth="1"/>
    <col min="7428" max="7428" width="17.28515625" style="1" customWidth="1"/>
    <col min="7429" max="7429" width="17.7109375" style="1" customWidth="1"/>
    <col min="7430" max="7430" width="16" style="1" customWidth="1"/>
    <col min="7431" max="7431" width="16.85546875" style="1" customWidth="1"/>
    <col min="7432" max="7432" width="16.140625" style="1" customWidth="1"/>
    <col min="7433" max="7433" width="15.85546875" style="1" customWidth="1"/>
    <col min="7434" max="7434" width="16" style="1" customWidth="1"/>
    <col min="7435" max="7435" width="17.28515625" style="1" customWidth="1"/>
    <col min="7436" max="7436" width="18.42578125" style="1" customWidth="1"/>
    <col min="7437" max="7437" width="21.7109375" style="1" customWidth="1"/>
    <col min="7438" max="7681" width="9.140625" style="1"/>
    <col min="7682" max="7682" width="11.5703125" style="1" customWidth="1"/>
    <col min="7683" max="7683" width="53.85546875" style="1" customWidth="1"/>
    <col min="7684" max="7684" width="17.28515625" style="1" customWidth="1"/>
    <col min="7685" max="7685" width="17.7109375" style="1" customWidth="1"/>
    <col min="7686" max="7686" width="16" style="1" customWidth="1"/>
    <col min="7687" max="7687" width="16.85546875" style="1" customWidth="1"/>
    <col min="7688" max="7688" width="16.140625" style="1" customWidth="1"/>
    <col min="7689" max="7689" width="15.85546875" style="1" customWidth="1"/>
    <col min="7690" max="7690" width="16" style="1" customWidth="1"/>
    <col min="7691" max="7691" width="17.28515625" style="1" customWidth="1"/>
    <col min="7692" max="7692" width="18.42578125" style="1" customWidth="1"/>
    <col min="7693" max="7693" width="21.7109375" style="1" customWidth="1"/>
    <col min="7694" max="7937" width="9.140625" style="1"/>
    <col min="7938" max="7938" width="11.5703125" style="1" customWidth="1"/>
    <col min="7939" max="7939" width="53.85546875" style="1" customWidth="1"/>
    <col min="7940" max="7940" width="17.28515625" style="1" customWidth="1"/>
    <col min="7941" max="7941" width="17.7109375" style="1" customWidth="1"/>
    <col min="7942" max="7942" width="16" style="1" customWidth="1"/>
    <col min="7943" max="7943" width="16.85546875" style="1" customWidth="1"/>
    <col min="7944" max="7944" width="16.140625" style="1" customWidth="1"/>
    <col min="7945" max="7945" width="15.85546875" style="1" customWidth="1"/>
    <col min="7946" max="7946" width="16" style="1" customWidth="1"/>
    <col min="7947" max="7947" width="17.28515625" style="1" customWidth="1"/>
    <col min="7948" max="7948" width="18.42578125" style="1" customWidth="1"/>
    <col min="7949" max="7949" width="21.7109375" style="1" customWidth="1"/>
    <col min="7950" max="8193" width="9.140625" style="1"/>
    <col min="8194" max="8194" width="11.5703125" style="1" customWidth="1"/>
    <col min="8195" max="8195" width="53.85546875" style="1" customWidth="1"/>
    <col min="8196" max="8196" width="17.28515625" style="1" customWidth="1"/>
    <col min="8197" max="8197" width="17.7109375" style="1" customWidth="1"/>
    <col min="8198" max="8198" width="16" style="1" customWidth="1"/>
    <col min="8199" max="8199" width="16.85546875" style="1" customWidth="1"/>
    <col min="8200" max="8200" width="16.140625" style="1" customWidth="1"/>
    <col min="8201" max="8201" width="15.85546875" style="1" customWidth="1"/>
    <col min="8202" max="8202" width="16" style="1" customWidth="1"/>
    <col min="8203" max="8203" width="17.28515625" style="1" customWidth="1"/>
    <col min="8204" max="8204" width="18.42578125" style="1" customWidth="1"/>
    <col min="8205" max="8205" width="21.7109375" style="1" customWidth="1"/>
    <col min="8206" max="8449" width="9.140625" style="1"/>
    <col min="8450" max="8450" width="11.5703125" style="1" customWidth="1"/>
    <col min="8451" max="8451" width="53.85546875" style="1" customWidth="1"/>
    <col min="8452" max="8452" width="17.28515625" style="1" customWidth="1"/>
    <col min="8453" max="8453" width="17.7109375" style="1" customWidth="1"/>
    <col min="8454" max="8454" width="16" style="1" customWidth="1"/>
    <col min="8455" max="8455" width="16.85546875" style="1" customWidth="1"/>
    <col min="8456" max="8456" width="16.140625" style="1" customWidth="1"/>
    <col min="8457" max="8457" width="15.85546875" style="1" customWidth="1"/>
    <col min="8458" max="8458" width="16" style="1" customWidth="1"/>
    <col min="8459" max="8459" width="17.28515625" style="1" customWidth="1"/>
    <col min="8460" max="8460" width="18.42578125" style="1" customWidth="1"/>
    <col min="8461" max="8461" width="21.7109375" style="1" customWidth="1"/>
    <col min="8462" max="8705" width="9.140625" style="1"/>
    <col min="8706" max="8706" width="11.5703125" style="1" customWidth="1"/>
    <col min="8707" max="8707" width="53.85546875" style="1" customWidth="1"/>
    <col min="8708" max="8708" width="17.28515625" style="1" customWidth="1"/>
    <col min="8709" max="8709" width="17.7109375" style="1" customWidth="1"/>
    <col min="8710" max="8710" width="16" style="1" customWidth="1"/>
    <col min="8711" max="8711" width="16.85546875" style="1" customWidth="1"/>
    <col min="8712" max="8712" width="16.140625" style="1" customWidth="1"/>
    <col min="8713" max="8713" width="15.85546875" style="1" customWidth="1"/>
    <col min="8714" max="8714" width="16" style="1" customWidth="1"/>
    <col min="8715" max="8715" width="17.28515625" style="1" customWidth="1"/>
    <col min="8716" max="8716" width="18.42578125" style="1" customWidth="1"/>
    <col min="8717" max="8717" width="21.7109375" style="1" customWidth="1"/>
    <col min="8718" max="8961" width="9.140625" style="1"/>
    <col min="8962" max="8962" width="11.5703125" style="1" customWidth="1"/>
    <col min="8963" max="8963" width="53.85546875" style="1" customWidth="1"/>
    <col min="8964" max="8964" width="17.28515625" style="1" customWidth="1"/>
    <col min="8965" max="8965" width="17.7109375" style="1" customWidth="1"/>
    <col min="8966" max="8966" width="16" style="1" customWidth="1"/>
    <col min="8967" max="8967" width="16.85546875" style="1" customWidth="1"/>
    <col min="8968" max="8968" width="16.140625" style="1" customWidth="1"/>
    <col min="8969" max="8969" width="15.85546875" style="1" customWidth="1"/>
    <col min="8970" max="8970" width="16" style="1" customWidth="1"/>
    <col min="8971" max="8971" width="17.28515625" style="1" customWidth="1"/>
    <col min="8972" max="8972" width="18.42578125" style="1" customWidth="1"/>
    <col min="8973" max="8973" width="21.7109375" style="1" customWidth="1"/>
    <col min="8974" max="9217" width="9.140625" style="1"/>
    <col min="9218" max="9218" width="11.5703125" style="1" customWidth="1"/>
    <col min="9219" max="9219" width="53.85546875" style="1" customWidth="1"/>
    <col min="9220" max="9220" width="17.28515625" style="1" customWidth="1"/>
    <col min="9221" max="9221" width="17.7109375" style="1" customWidth="1"/>
    <col min="9222" max="9222" width="16" style="1" customWidth="1"/>
    <col min="9223" max="9223" width="16.85546875" style="1" customWidth="1"/>
    <col min="9224" max="9224" width="16.140625" style="1" customWidth="1"/>
    <col min="9225" max="9225" width="15.85546875" style="1" customWidth="1"/>
    <col min="9226" max="9226" width="16" style="1" customWidth="1"/>
    <col min="9227" max="9227" width="17.28515625" style="1" customWidth="1"/>
    <col min="9228" max="9228" width="18.42578125" style="1" customWidth="1"/>
    <col min="9229" max="9229" width="21.7109375" style="1" customWidth="1"/>
    <col min="9230" max="9473" width="9.140625" style="1"/>
    <col min="9474" max="9474" width="11.5703125" style="1" customWidth="1"/>
    <col min="9475" max="9475" width="53.85546875" style="1" customWidth="1"/>
    <col min="9476" max="9476" width="17.28515625" style="1" customWidth="1"/>
    <col min="9477" max="9477" width="17.7109375" style="1" customWidth="1"/>
    <col min="9478" max="9478" width="16" style="1" customWidth="1"/>
    <col min="9479" max="9479" width="16.85546875" style="1" customWidth="1"/>
    <col min="9480" max="9480" width="16.140625" style="1" customWidth="1"/>
    <col min="9481" max="9481" width="15.85546875" style="1" customWidth="1"/>
    <col min="9482" max="9482" width="16" style="1" customWidth="1"/>
    <col min="9483" max="9483" width="17.28515625" style="1" customWidth="1"/>
    <col min="9484" max="9484" width="18.42578125" style="1" customWidth="1"/>
    <col min="9485" max="9485" width="21.7109375" style="1" customWidth="1"/>
    <col min="9486" max="9729" width="9.140625" style="1"/>
    <col min="9730" max="9730" width="11.5703125" style="1" customWidth="1"/>
    <col min="9731" max="9731" width="53.85546875" style="1" customWidth="1"/>
    <col min="9732" max="9732" width="17.28515625" style="1" customWidth="1"/>
    <col min="9733" max="9733" width="17.7109375" style="1" customWidth="1"/>
    <col min="9734" max="9734" width="16" style="1" customWidth="1"/>
    <col min="9735" max="9735" width="16.85546875" style="1" customWidth="1"/>
    <col min="9736" max="9736" width="16.140625" style="1" customWidth="1"/>
    <col min="9737" max="9737" width="15.85546875" style="1" customWidth="1"/>
    <col min="9738" max="9738" width="16" style="1" customWidth="1"/>
    <col min="9739" max="9739" width="17.28515625" style="1" customWidth="1"/>
    <col min="9740" max="9740" width="18.42578125" style="1" customWidth="1"/>
    <col min="9741" max="9741" width="21.7109375" style="1" customWidth="1"/>
    <col min="9742" max="9985" width="9.140625" style="1"/>
    <col min="9986" max="9986" width="11.5703125" style="1" customWidth="1"/>
    <col min="9987" max="9987" width="53.85546875" style="1" customWidth="1"/>
    <col min="9988" max="9988" width="17.28515625" style="1" customWidth="1"/>
    <col min="9989" max="9989" width="17.7109375" style="1" customWidth="1"/>
    <col min="9990" max="9990" width="16" style="1" customWidth="1"/>
    <col min="9991" max="9991" width="16.85546875" style="1" customWidth="1"/>
    <col min="9992" max="9992" width="16.140625" style="1" customWidth="1"/>
    <col min="9993" max="9993" width="15.85546875" style="1" customWidth="1"/>
    <col min="9994" max="9994" width="16" style="1" customWidth="1"/>
    <col min="9995" max="9995" width="17.28515625" style="1" customWidth="1"/>
    <col min="9996" max="9996" width="18.42578125" style="1" customWidth="1"/>
    <col min="9997" max="9997" width="21.7109375" style="1" customWidth="1"/>
    <col min="9998" max="10241" width="9.140625" style="1"/>
    <col min="10242" max="10242" width="11.5703125" style="1" customWidth="1"/>
    <col min="10243" max="10243" width="53.85546875" style="1" customWidth="1"/>
    <col min="10244" max="10244" width="17.28515625" style="1" customWidth="1"/>
    <col min="10245" max="10245" width="17.7109375" style="1" customWidth="1"/>
    <col min="10246" max="10246" width="16" style="1" customWidth="1"/>
    <col min="10247" max="10247" width="16.85546875" style="1" customWidth="1"/>
    <col min="10248" max="10248" width="16.140625" style="1" customWidth="1"/>
    <col min="10249" max="10249" width="15.85546875" style="1" customWidth="1"/>
    <col min="10250" max="10250" width="16" style="1" customWidth="1"/>
    <col min="10251" max="10251" width="17.28515625" style="1" customWidth="1"/>
    <col min="10252" max="10252" width="18.42578125" style="1" customWidth="1"/>
    <col min="10253" max="10253" width="21.7109375" style="1" customWidth="1"/>
    <col min="10254" max="10497" width="9.140625" style="1"/>
    <col min="10498" max="10498" width="11.5703125" style="1" customWidth="1"/>
    <col min="10499" max="10499" width="53.85546875" style="1" customWidth="1"/>
    <col min="10500" max="10500" width="17.28515625" style="1" customWidth="1"/>
    <col min="10501" max="10501" width="17.7109375" style="1" customWidth="1"/>
    <col min="10502" max="10502" width="16" style="1" customWidth="1"/>
    <col min="10503" max="10503" width="16.85546875" style="1" customWidth="1"/>
    <col min="10504" max="10504" width="16.140625" style="1" customWidth="1"/>
    <col min="10505" max="10505" width="15.85546875" style="1" customWidth="1"/>
    <col min="10506" max="10506" width="16" style="1" customWidth="1"/>
    <col min="10507" max="10507" width="17.28515625" style="1" customWidth="1"/>
    <col min="10508" max="10508" width="18.42578125" style="1" customWidth="1"/>
    <col min="10509" max="10509" width="21.7109375" style="1" customWidth="1"/>
    <col min="10510" max="10753" width="9.140625" style="1"/>
    <col min="10754" max="10754" width="11.5703125" style="1" customWidth="1"/>
    <col min="10755" max="10755" width="53.85546875" style="1" customWidth="1"/>
    <col min="10756" max="10756" width="17.28515625" style="1" customWidth="1"/>
    <col min="10757" max="10757" width="17.7109375" style="1" customWidth="1"/>
    <col min="10758" max="10758" width="16" style="1" customWidth="1"/>
    <col min="10759" max="10759" width="16.85546875" style="1" customWidth="1"/>
    <col min="10760" max="10760" width="16.140625" style="1" customWidth="1"/>
    <col min="10761" max="10761" width="15.85546875" style="1" customWidth="1"/>
    <col min="10762" max="10762" width="16" style="1" customWidth="1"/>
    <col min="10763" max="10763" width="17.28515625" style="1" customWidth="1"/>
    <col min="10764" max="10764" width="18.42578125" style="1" customWidth="1"/>
    <col min="10765" max="10765" width="21.7109375" style="1" customWidth="1"/>
    <col min="10766" max="11009" width="9.140625" style="1"/>
    <col min="11010" max="11010" width="11.5703125" style="1" customWidth="1"/>
    <col min="11011" max="11011" width="53.85546875" style="1" customWidth="1"/>
    <col min="11012" max="11012" width="17.28515625" style="1" customWidth="1"/>
    <col min="11013" max="11013" width="17.7109375" style="1" customWidth="1"/>
    <col min="11014" max="11014" width="16" style="1" customWidth="1"/>
    <col min="11015" max="11015" width="16.85546875" style="1" customWidth="1"/>
    <col min="11016" max="11016" width="16.140625" style="1" customWidth="1"/>
    <col min="11017" max="11017" width="15.85546875" style="1" customWidth="1"/>
    <col min="11018" max="11018" width="16" style="1" customWidth="1"/>
    <col min="11019" max="11019" width="17.28515625" style="1" customWidth="1"/>
    <col min="11020" max="11020" width="18.42578125" style="1" customWidth="1"/>
    <col min="11021" max="11021" width="21.7109375" style="1" customWidth="1"/>
    <col min="11022" max="11265" width="9.140625" style="1"/>
    <col min="11266" max="11266" width="11.5703125" style="1" customWidth="1"/>
    <col min="11267" max="11267" width="53.85546875" style="1" customWidth="1"/>
    <col min="11268" max="11268" width="17.28515625" style="1" customWidth="1"/>
    <col min="11269" max="11269" width="17.7109375" style="1" customWidth="1"/>
    <col min="11270" max="11270" width="16" style="1" customWidth="1"/>
    <col min="11271" max="11271" width="16.85546875" style="1" customWidth="1"/>
    <col min="11272" max="11272" width="16.140625" style="1" customWidth="1"/>
    <col min="11273" max="11273" width="15.85546875" style="1" customWidth="1"/>
    <col min="11274" max="11274" width="16" style="1" customWidth="1"/>
    <col min="11275" max="11275" width="17.28515625" style="1" customWidth="1"/>
    <col min="11276" max="11276" width="18.42578125" style="1" customWidth="1"/>
    <col min="11277" max="11277" width="21.7109375" style="1" customWidth="1"/>
    <col min="11278" max="11521" width="9.140625" style="1"/>
    <col min="11522" max="11522" width="11.5703125" style="1" customWidth="1"/>
    <col min="11523" max="11523" width="53.85546875" style="1" customWidth="1"/>
    <col min="11524" max="11524" width="17.28515625" style="1" customWidth="1"/>
    <col min="11525" max="11525" width="17.7109375" style="1" customWidth="1"/>
    <col min="11526" max="11526" width="16" style="1" customWidth="1"/>
    <col min="11527" max="11527" width="16.85546875" style="1" customWidth="1"/>
    <col min="11528" max="11528" width="16.140625" style="1" customWidth="1"/>
    <col min="11529" max="11529" width="15.85546875" style="1" customWidth="1"/>
    <col min="11530" max="11530" width="16" style="1" customWidth="1"/>
    <col min="11531" max="11531" width="17.28515625" style="1" customWidth="1"/>
    <col min="11532" max="11532" width="18.42578125" style="1" customWidth="1"/>
    <col min="11533" max="11533" width="21.7109375" style="1" customWidth="1"/>
    <col min="11534" max="11777" width="9.140625" style="1"/>
    <col min="11778" max="11778" width="11.5703125" style="1" customWidth="1"/>
    <col min="11779" max="11779" width="53.85546875" style="1" customWidth="1"/>
    <col min="11780" max="11780" width="17.28515625" style="1" customWidth="1"/>
    <col min="11781" max="11781" width="17.7109375" style="1" customWidth="1"/>
    <col min="11782" max="11782" width="16" style="1" customWidth="1"/>
    <col min="11783" max="11783" width="16.85546875" style="1" customWidth="1"/>
    <col min="11784" max="11784" width="16.140625" style="1" customWidth="1"/>
    <col min="11785" max="11785" width="15.85546875" style="1" customWidth="1"/>
    <col min="11786" max="11786" width="16" style="1" customWidth="1"/>
    <col min="11787" max="11787" width="17.28515625" style="1" customWidth="1"/>
    <col min="11788" max="11788" width="18.42578125" style="1" customWidth="1"/>
    <col min="11789" max="11789" width="21.7109375" style="1" customWidth="1"/>
    <col min="11790" max="12033" width="9.140625" style="1"/>
    <col min="12034" max="12034" width="11.5703125" style="1" customWidth="1"/>
    <col min="12035" max="12035" width="53.85546875" style="1" customWidth="1"/>
    <col min="12036" max="12036" width="17.28515625" style="1" customWidth="1"/>
    <col min="12037" max="12037" width="17.7109375" style="1" customWidth="1"/>
    <col min="12038" max="12038" width="16" style="1" customWidth="1"/>
    <col min="12039" max="12039" width="16.85546875" style="1" customWidth="1"/>
    <col min="12040" max="12040" width="16.140625" style="1" customWidth="1"/>
    <col min="12041" max="12041" width="15.85546875" style="1" customWidth="1"/>
    <col min="12042" max="12042" width="16" style="1" customWidth="1"/>
    <col min="12043" max="12043" width="17.28515625" style="1" customWidth="1"/>
    <col min="12044" max="12044" width="18.42578125" style="1" customWidth="1"/>
    <col min="12045" max="12045" width="21.7109375" style="1" customWidth="1"/>
    <col min="12046" max="12289" width="9.140625" style="1"/>
    <col min="12290" max="12290" width="11.5703125" style="1" customWidth="1"/>
    <col min="12291" max="12291" width="53.85546875" style="1" customWidth="1"/>
    <col min="12292" max="12292" width="17.28515625" style="1" customWidth="1"/>
    <col min="12293" max="12293" width="17.7109375" style="1" customWidth="1"/>
    <col min="12294" max="12294" width="16" style="1" customWidth="1"/>
    <col min="12295" max="12295" width="16.85546875" style="1" customWidth="1"/>
    <col min="12296" max="12296" width="16.140625" style="1" customWidth="1"/>
    <col min="12297" max="12297" width="15.85546875" style="1" customWidth="1"/>
    <col min="12298" max="12298" width="16" style="1" customWidth="1"/>
    <col min="12299" max="12299" width="17.28515625" style="1" customWidth="1"/>
    <col min="12300" max="12300" width="18.42578125" style="1" customWidth="1"/>
    <col min="12301" max="12301" width="21.7109375" style="1" customWidth="1"/>
    <col min="12302" max="12545" width="9.140625" style="1"/>
    <col min="12546" max="12546" width="11.5703125" style="1" customWidth="1"/>
    <col min="12547" max="12547" width="53.85546875" style="1" customWidth="1"/>
    <col min="12548" max="12548" width="17.28515625" style="1" customWidth="1"/>
    <col min="12549" max="12549" width="17.7109375" style="1" customWidth="1"/>
    <col min="12550" max="12550" width="16" style="1" customWidth="1"/>
    <col min="12551" max="12551" width="16.85546875" style="1" customWidth="1"/>
    <col min="12552" max="12552" width="16.140625" style="1" customWidth="1"/>
    <col min="12553" max="12553" width="15.85546875" style="1" customWidth="1"/>
    <col min="12554" max="12554" width="16" style="1" customWidth="1"/>
    <col min="12555" max="12555" width="17.28515625" style="1" customWidth="1"/>
    <col min="12556" max="12556" width="18.42578125" style="1" customWidth="1"/>
    <col min="12557" max="12557" width="21.7109375" style="1" customWidth="1"/>
    <col min="12558" max="12801" width="9.140625" style="1"/>
    <col min="12802" max="12802" width="11.5703125" style="1" customWidth="1"/>
    <col min="12803" max="12803" width="53.85546875" style="1" customWidth="1"/>
    <col min="12804" max="12804" width="17.28515625" style="1" customWidth="1"/>
    <col min="12805" max="12805" width="17.7109375" style="1" customWidth="1"/>
    <col min="12806" max="12806" width="16" style="1" customWidth="1"/>
    <col min="12807" max="12807" width="16.85546875" style="1" customWidth="1"/>
    <col min="12808" max="12808" width="16.140625" style="1" customWidth="1"/>
    <col min="12809" max="12809" width="15.85546875" style="1" customWidth="1"/>
    <col min="12810" max="12810" width="16" style="1" customWidth="1"/>
    <col min="12811" max="12811" width="17.28515625" style="1" customWidth="1"/>
    <col min="12812" max="12812" width="18.42578125" style="1" customWidth="1"/>
    <col min="12813" max="12813" width="21.7109375" style="1" customWidth="1"/>
    <col min="12814" max="13057" width="9.140625" style="1"/>
    <col min="13058" max="13058" width="11.5703125" style="1" customWidth="1"/>
    <col min="13059" max="13059" width="53.85546875" style="1" customWidth="1"/>
    <col min="13060" max="13060" width="17.28515625" style="1" customWidth="1"/>
    <col min="13061" max="13061" width="17.7109375" style="1" customWidth="1"/>
    <col min="13062" max="13062" width="16" style="1" customWidth="1"/>
    <col min="13063" max="13063" width="16.85546875" style="1" customWidth="1"/>
    <col min="13064" max="13064" width="16.140625" style="1" customWidth="1"/>
    <col min="13065" max="13065" width="15.85546875" style="1" customWidth="1"/>
    <col min="13066" max="13066" width="16" style="1" customWidth="1"/>
    <col min="13067" max="13067" width="17.28515625" style="1" customWidth="1"/>
    <col min="13068" max="13068" width="18.42578125" style="1" customWidth="1"/>
    <col min="13069" max="13069" width="21.7109375" style="1" customWidth="1"/>
    <col min="13070" max="13313" width="9.140625" style="1"/>
    <col min="13314" max="13314" width="11.5703125" style="1" customWidth="1"/>
    <col min="13315" max="13315" width="53.85546875" style="1" customWidth="1"/>
    <col min="13316" max="13316" width="17.28515625" style="1" customWidth="1"/>
    <col min="13317" max="13317" width="17.7109375" style="1" customWidth="1"/>
    <col min="13318" max="13318" width="16" style="1" customWidth="1"/>
    <col min="13319" max="13319" width="16.85546875" style="1" customWidth="1"/>
    <col min="13320" max="13320" width="16.140625" style="1" customWidth="1"/>
    <col min="13321" max="13321" width="15.85546875" style="1" customWidth="1"/>
    <col min="13322" max="13322" width="16" style="1" customWidth="1"/>
    <col min="13323" max="13323" width="17.28515625" style="1" customWidth="1"/>
    <col min="13324" max="13324" width="18.42578125" style="1" customWidth="1"/>
    <col min="13325" max="13325" width="21.7109375" style="1" customWidth="1"/>
    <col min="13326" max="13569" width="9.140625" style="1"/>
    <col min="13570" max="13570" width="11.5703125" style="1" customWidth="1"/>
    <col min="13571" max="13571" width="53.85546875" style="1" customWidth="1"/>
    <col min="13572" max="13572" width="17.28515625" style="1" customWidth="1"/>
    <col min="13573" max="13573" width="17.7109375" style="1" customWidth="1"/>
    <col min="13574" max="13574" width="16" style="1" customWidth="1"/>
    <col min="13575" max="13575" width="16.85546875" style="1" customWidth="1"/>
    <col min="13576" max="13576" width="16.140625" style="1" customWidth="1"/>
    <col min="13577" max="13577" width="15.85546875" style="1" customWidth="1"/>
    <col min="13578" max="13578" width="16" style="1" customWidth="1"/>
    <col min="13579" max="13579" width="17.28515625" style="1" customWidth="1"/>
    <col min="13580" max="13580" width="18.42578125" style="1" customWidth="1"/>
    <col min="13581" max="13581" width="21.7109375" style="1" customWidth="1"/>
    <col min="13582" max="13825" width="9.140625" style="1"/>
    <col min="13826" max="13826" width="11.5703125" style="1" customWidth="1"/>
    <col min="13827" max="13827" width="53.85546875" style="1" customWidth="1"/>
    <col min="13828" max="13828" width="17.28515625" style="1" customWidth="1"/>
    <col min="13829" max="13829" width="17.7109375" style="1" customWidth="1"/>
    <col min="13830" max="13830" width="16" style="1" customWidth="1"/>
    <col min="13831" max="13831" width="16.85546875" style="1" customWidth="1"/>
    <col min="13832" max="13832" width="16.140625" style="1" customWidth="1"/>
    <col min="13833" max="13833" width="15.85546875" style="1" customWidth="1"/>
    <col min="13834" max="13834" width="16" style="1" customWidth="1"/>
    <col min="13835" max="13835" width="17.28515625" style="1" customWidth="1"/>
    <col min="13836" max="13836" width="18.42578125" style="1" customWidth="1"/>
    <col min="13837" max="13837" width="21.7109375" style="1" customWidth="1"/>
    <col min="13838" max="14081" width="9.140625" style="1"/>
    <col min="14082" max="14082" width="11.5703125" style="1" customWidth="1"/>
    <col min="14083" max="14083" width="53.85546875" style="1" customWidth="1"/>
    <col min="14084" max="14084" width="17.28515625" style="1" customWidth="1"/>
    <col min="14085" max="14085" width="17.7109375" style="1" customWidth="1"/>
    <col min="14086" max="14086" width="16" style="1" customWidth="1"/>
    <col min="14087" max="14087" width="16.85546875" style="1" customWidth="1"/>
    <col min="14088" max="14088" width="16.140625" style="1" customWidth="1"/>
    <col min="14089" max="14089" width="15.85546875" style="1" customWidth="1"/>
    <col min="14090" max="14090" width="16" style="1" customWidth="1"/>
    <col min="14091" max="14091" width="17.28515625" style="1" customWidth="1"/>
    <col min="14092" max="14092" width="18.42578125" style="1" customWidth="1"/>
    <col min="14093" max="14093" width="21.7109375" style="1" customWidth="1"/>
    <col min="14094" max="14337" width="9.140625" style="1"/>
    <col min="14338" max="14338" width="11.5703125" style="1" customWidth="1"/>
    <col min="14339" max="14339" width="53.85546875" style="1" customWidth="1"/>
    <col min="14340" max="14340" width="17.28515625" style="1" customWidth="1"/>
    <col min="14341" max="14341" width="17.7109375" style="1" customWidth="1"/>
    <col min="14342" max="14342" width="16" style="1" customWidth="1"/>
    <col min="14343" max="14343" width="16.85546875" style="1" customWidth="1"/>
    <col min="14344" max="14344" width="16.140625" style="1" customWidth="1"/>
    <col min="14345" max="14345" width="15.85546875" style="1" customWidth="1"/>
    <col min="14346" max="14346" width="16" style="1" customWidth="1"/>
    <col min="14347" max="14347" width="17.28515625" style="1" customWidth="1"/>
    <col min="14348" max="14348" width="18.42578125" style="1" customWidth="1"/>
    <col min="14349" max="14349" width="21.7109375" style="1" customWidth="1"/>
    <col min="14350" max="14593" width="9.140625" style="1"/>
    <col min="14594" max="14594" width="11.5703125" style="1" customWidth="1"/>
    <col min="14595" max="14595" width="53.85546875" style="1" customWidth="1"/>
    <col min="14596" max="14596" width="17.28515625" style="1" customWidth="1"/>
    <col min="14597" max="14597" width="17.7109375" style="1" customWidth="1"/>
    <col min="14598" max="14598" width="16" style="1" customWidth="1"/>
    <col min="14599" max="14599" width="16.85546875" style="1" customWidth="1"/>
    <col min="14600" max="14600" width="16.140625" style="1" customWidth="1"/>
    <col min="14601" max="14601" width="15.85546875" style="1" customWidth="1"/>
    <col min="14602" max="14602" width="16" style="1" customWidth="1"/>
    <col min="14603" max="14603" width="17.28515625" style="1" customWidth="1"/>
    <col min="14604" max="14604" width="18.42578125" style="1" customWidth="1"/>
    <col min="14605" max="14605" width="21.7109375" style="1" customWidth="1"/>
    <col min="14606" max="14849" width="9.140625" style="1"/>
    <col min="14850" max="14850" width="11.5703125" style="1" customWidth="1"/>
    <col min="14851" max="14851" width="53.85546875" style="1" customWidth="1"/>
    <col min="14852" max="14852" width="17.28515625" style="1" customWidth="1"/>
    <col min="14853" max="14853" width="17.7109375" style="1" customWidth="1"/>
    <col min="14854" max="14854" width="16" style="1" customWidth="1"/>
    <col min="14855" max="14855" width="16.85546875" style="1" customWidth="1"/>
    <col min="14856" max="14856" width="16.140625" style="1" customWidth="1"/>
    <col min="14857" max="14857" width="15.85546875" style="1" customWidth="1"/>
    <col min="14858" max="14858" width="16" style="1" customWidth="1"/>
    <col min="14859" max="14859" width="17.28515625" style="1" customWidth="1"/>
    <col min="14860" max="14860" width="18.42578125" style="1" customWidth="1"/>
    <col min="14861" max="14861" width="21.7109375" style="1" customWidth="1"/>
    <col min="14862" max="15105" width="9.140625" style="1"/>
    <col min="15106" max="15106" width="11.5703125" style="1" customWidth="1"/>
    <col min="15107" max="15107" width="53.85546875" style="1" customWidth="1"/>
    <col min="15108" max="15108" width="17.28515625" style="1" customWidth="1"/>
    <col min="15109" max="15109" width="17.7109375" style="1" customWidth="1"/>
    <col min="15110" max="15110" width="16" style="1" customWidth="1"/>
    <col min="15111" max="15111" width="16.85546875" style="1" customWidth="1"/>
    <col min="15112" max="15112" width="16.140625" style="1" customWidth="1"/>
    <col min="15113" max="15113" width="15.85546875" style="1" customWidth="1"/>
    <col min="15114" max="15114" width="16" style="1" customWidth="1"/>
    <col min="15115" max="15115" width="17.28515625" style="1" customWidth="1"/>
    <col min="15116" max="15116" width="18.42578125" style="1" customWidth="1"/>
    <col min="15117" max="15117" width="21.7109375" style="1" customWidth="1"/>
    <col min="15118" max="15361" width="9.140625" style="1"/>
    <col min="15362" max="15362" width="11.5703125" style="1" customWidth="1"/>
    <col min="15363" max="15363" width="53.85546875" style="1" customWidth="1"/>
    <col min="15364" max="15364" width="17.28515625" style="1" customWidth="1"/>
    <col min="15365" max="15365" width="17.7109375" style="1" customWidth="1"/>
    <col min="15366" max="15366" width="16" style="1" customWidth="1"/>
    <col min="15367" max="15367" width="16.85546875" style="1" customWidth="1"/>
    <col min="15368" max="15368" width="16.140625" style="1" customWidth="1"/>
    <col min="15369" max="15369" width="15.85546875" style="1" customWidth="1"/>
    <col min="15370" max="15370" width="16" style="1" customWidth="1"/>
    <col min="15371" max="15371" width="17.28515625" style="1" customWidth="1"/>
    <col min="15372" max="15372" width="18.42578125" style="1" customWidth="1"/>
    <col min="15373" max="15373" width="21.7109375" style="1" customWidth="1"/>
    <col min="15374" max="15617" width="9.140625" style="1"/>
    <col min="15618" max="15618" width="11.5703125" style="1" customWidth="1"/>
    <col min="15619" max="15619" width="53.85546875" style="1" customWidth="1"/>
    <col min="15620" max="15620" width="17.28515625" style="1" customWidth="1"/>
    <col min="15621" max="15621" width="17.7109375" style="1" customWidth="1"/>
    <col min="15622" max="15622" width="16" style="1" customWidth="1"/>
    <col min="15623" max="15623" width="16.85546875" style="1" customWidth="1"/>
    <col min="15624" max="15624" width="16.140625" style="1" customWidth="1"/>
    <col min="15625" max="15625" width="15.85546875" style="1" customWidth="1"/>
    <col min="15626" max="15626" width="16" style="1" customWidth="1"/>
    <col min="15627" max="15627" width="17.28515625" style="1" customWidth="1"/>
    <col min="15628" max="15628" width="18.42578125" style="1" customWidth="1"/>
    <col min="15629" max="15629" width="21.7109375" style="1" customWidth="1"/>
    <col min="15630" max="15873" width="9.140625" style="1"/>
    <col min="15874" max="15874" width="11.5703125" style="1" customWidth="1"/>
    <col min="15875" max="15875" width="53.85546875" style="1" customWidth="1"/>
    <col min="15876" max="15876" width="17.28515625" style="1" customWidth="1"/>
    <col min="15877" max="15877" width="17.7109375" style="1" customWidth="1"/>
    <col min="15878" max="15878" width="16" style="1" customWidth="1"/>
    <col min="15879" max="15879" width="16.85546875" style="1" customWidth="1"/>
    <col min="15880" max="15880" width="16.140625" style="1" customWidth="1"/>
    <col min="15881" max="15881" width="15.85546875" style="1" customWidth="1"/>
    <col min="15882" max="15882" width="16" style="1" customWidth="1"/>
    <col min="15883" max="15883" width="17.28515625" style="1" customWidth="1"/>
    <col min="15884" max="15884" width="18.42578125" style="1" customWidth="1"/>
    <col min="15885" max="15885" width="21.7109375" style="1" customWidth="1"/>
    <col min="15886" max="16129" width="9.140625" style="1"/>
    <col min="16130" max="16130" width="11.5703125" style="1" customWidth="1"/>
    <col min="16131" max="16131" width="53.85546875" style="1" customWidth="1"/>
    <col min="16132" max="16132" width="17.28515625" style="1" customWidth="1"/>
    <col min="16133" max="16133" width="17.7109375" style="1" customWidth="1"/>
    <col min="16134" max="16134" width="16" style="1" customWidth="1"/>
    <col min="16135" max="16135" width="16.85546875" style="1" customWidth="1"/>
    <col min="16136" max="16136" width="16.140625" style="1" customWidth="1"/>
    <col min="16137" max="16137" width="15.85546875" style="1" customWidth="1"/>
    <col min="16138" max="16138" width="16" style="1" customWidth="1"/>
    <col min="16139" max="16139" width="17.28515625" style="1" customWidth="1"/>
    <col min="16140" max="16140" width="18.42578125" style="1" customWidth="1"/>
    <col min="16141" max="16141" width="21.7109375" style="1" customWidth="1"/>
    <col min="16142" max="16384" width="9.140625" style="1"/>
  </cols>
  <sheetData>
    <row r="1" spans="1:20" ht="18.75" customHeight="1" x14ac:dyDescent="0.25">
      <c r="A1" s="2"/>
      <c r="B1" s="33" t="s">
        <v>227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"/>
      <c r="O1" s="3"/>
      <c r="P1" s="3"/>
      <c r="Q1" s="3"/>
      <c r="R1" s="3"/>
      <c r="S1" s="3"/>
      <c r="T1" s="3"/>
    </row>
    <row r="2" spans="1:2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0" ht="98.25" customHeight="1" x14ac:dyDescent="0.25">
      <c r="A3" s="4" t="s">
        <v>228</v>
      </c>
      <c r="B3" s="4" t="s">
        <v>229</v>
      </c>
      <c r="C3" s="4" t="s">
        <v>334</v>
      </c>
      <c r="D3" s="4" t="s">
        <v>335</v>
      </c>
      <c r="E3" s="4" t="s">
        <v>336</v>
      </c>
      <c r="F3" s="4" t="s">
        <v>337</v>
      </c>
      <c r="G3" s="5" t="s">
        <v>329</v>
      </c>
      <c r="H3" s="4" t="s">
        <v>330</v>
      </c>
      <c r="I3" s="4" t="s">
        <v>331</v>
      </c>
      <c r="J3" s="4" t="s">
        <v>332</v>
      </c>
      <c r="K3" s="4" t="s">
        <v>333</v>
      </c>
      <c r="L3" s="6" t="s">
        <v>221</v>
      </c>
      <c r="M3" s="4" t="s">
        <v>338</v>
      </c>
    </row>
    <row r="4" spans="1:20" ht="27.75" customHeight="1" x14ac:dyDescent="0.25">
      <c r="A4" s="7" t="s">
        <v>230</v>
      </c>
      <c r="B4" s="8" t="s">
        <v>231</v>
      </c>
      <c r="C4" s="24">
        <f>C5+C6+C7+C8+C9+C10+C11+C12</f>
        <v>232511870.53</v>
      </c>
      <c r="D4" s="24">
        <f t="shared" ref="D4:I4" si="0">D5+D6+D7+D8+D9+D10+D12+D11</f>
        <v>-64051598.840000004</v>
      </c>
      <c r="E4" s="24">
        <f t="shared" si="0"/>
        <v>21160866</v>
      </c>
      <c r="F4" s="24">
        <f t="shared" si="0"/>
        <v>-17461.63</v>
      </c>
      <c r="G4" s="24">
        <f t="shared" si="0"/>
        <v>-1201432.54</v>
      </c>
      <c r="H4" s="24">
        <f t="shared" si="0"/>
        <v>347619.8</v>
      </c>
      <c r="I4" s="24">
        <f t="shared" si="0"/>
        <v>11589652.99</v>
      </c>
      <c r="J4" s="24">
        <f>J5+J6+J7+J8+J9+J10+J11+J12</f>
        <v>-1166232.74</v>
      </c>
      <c r="K4" s="24">
        <f>K5+K6+K7+K8+K9+K10+K11+K12</f>
        <v>-817286.88</v>
      </c>
      <c r="L4" s="24">
        <f>L5+L6+L7+L8+L9+L10+L11+L12</f>
        <v>-34155873.840000004</v>
      </c>
      <c r="M4" s="10">
        <f t="shared" ref="M4:M35" si="1">C4+L4</f>
        <v>198355996.69</v>
      </c>
    </row>
    <row r="5" spans="1:20" ht="48" customHeight="1" x14ac:dyDescent="0.25">
      <c r="A5" s="11" t="s">
        <v>232</v>
      </c>
      <c r="B5" s="12" t="s">
        <v>233</v>
      </c>
      <c r="C5" s="29">
        <v>2665381.64</v>
      </c>
      <c r="D5" s="14"/>
      <c r="E5" s="13">
        <v>-122100</v>
      </c>
      <c r="F5" s="15"/>
      <c r="G5" s="15"/>
      <c r="H5" s="15"/>
      <c r="I5" s="15">
        <v>215655.54</v>
      </c>
      <c r="J5" s="15"/>
      <c r="K5" s="31">
        <v>288795.03000000003</v>
      </c>
      <c r="L5" s="16">
        <f>D5+E5+F5+G5+H5+I5+J5+K5</f>
        <v>382350.57000000007</v>
      </c>
      <c r="M5" s="15">
        <f t="shared" si="1"/>
        <v>3047732.21</v>
      </c>
    </row>
    <row r="6" spans="1:20" ht="66" customHeight="1" x14ac:dyDescent="0.25">
      <c r="A6" s="11" t="s">
        <v>234</v>
      </c>
      <c r="B6" s="12" t="s">
        <v>235</v>
      </c>
      <c r="C6" s="29">
        <v>9432800</v>
      </c>
      <c r="D6" s="14"/>
      <c r="E6" s="13">
        <v>-70000</v>
      </c>
      <c r="F6" s="15"/>
      <c r="G6" s="15"/>
      <c r="H6" s="15"/>
      <c r="I6" s="15">
        <v>733982.04</v>
      </c>
      <c r="J6" s="15">
        <v>-247607.1</v>
      </c>
      <c r="K6" s="31"/>
      <c r="L6" s="16">
        <f t="shared" ref="L6:L10" si="2">D6+E6+F6+G6+H6+I6+J6</f>
        <v>416374.94000000006</v>
      </c>
      <c r="M6" s="15">
        <f t="shared" si="1"/>
        <v>9849174.9399999995</v>
      </c>
    </row>
    <row r="7" spans="1:20" ht="63" customHeight="1" x14ac:dyDescent="0.25">
      <c r="A7" s="11" t="s">
        <v>236</v>
      </c>
      <c r="B7" s="12" t="s">
        <v>237</v>
      </c>
      <c r="C7" s="29">
        <v>18531148.59</v>
      </c>
      <c r="D7" s="14"/>
      <c r="E7" s="13">
        <v>-164100</v>
      </c>
      <c r="F7" s="15"/>
      <c r="G7" s="15"/>
      <c r="H7" s="15"/>
      <c r="I7" s="15">
        <v>-815017.45</v>
      </c>
      <c r="J7" s="15"/>
      <c r="K7" s="31">
        <v>-241884.13</v>
      </c>
      <c r="L7" s="16">
        <f>D7+E7+F7+G7+H7+I7+J7+K7</f>
        <v>-1221001.58</v>
      </c>
      <c r="M7" s="15">
        <f t="shared" si="1"/>
        <v>17310147.009999998</v>
      </c>
    </row>
    <row r="8" spans="1:20" ht="21.75" customHeight="1" x14ac:dyDescent="0.25">
      <c r="A8" s="11" t="s">
        <v>238</v>
      </c>
      <c r="B8" s="12" t="s">
        <v>239</v>
      </c>
      <c r="C8" s="29">
        <v>533081</v>
      </c>
      <c r="D8" s="14"/>
      <c r="E8" s="13"/>
      <c r="F8" s="15"/>
      <c r="G8" s="15"/>
      <c r="H8" s="15"/>
      <c r="I8" s="15"/>
      <c r="J8" s="15"/>
      <c r="K8" s="31"/>
      <c r="L8" s="16">
        <f t="shared" si="2"/>
        <v>0</v>
      </c>
      <c r="M8" s="15">
        <f t="shared" si="1"/>
        <v>533081</v>
      </c>
    </row>
    <row r="9" spans="1:20" ht="50.25" customHeight="1" x14ac:dyDescent="0.25">
      <c r="A9" s="11" t="s">
        <v>240</v>
      </c>
      <c r="B9" s="12" t="s">
        <v>241</v>
      </c>
      <c r="C9" s="29">
        <v>16890697.170000002</v>
      </c>
      <c r="D9" s="14"/>
      <c r="E9" s="13">
        <v>-56000</v>
      </c>
      <c r="F9" s="15"/>
      <c r="G9" s="15"/>
      <c r="H9" s="15"/>
      <c r="I9" s="15">
        <v>44812.54</v>
      </c>
      <c r="J9" s="15">
        <v>133900</v>
      </c>
      <c r="K9" s="31">
        <v>87234</v>
      </c>
      <c r="L9" s="16">
        <f>D9+E9+F9+G9+H9+I9+J9+K9</f>
        <v>209946.54</v>
      </c>
      <c r="M9" s="15">
        <f t="shared" si="1"/>
        <v>17100643.710000001</v>
      </c>
    </row>
    <row r="10" spans="1:20" ht="18" customHeight="1" x14ac:dyDescent="0.25">
      <c r="A10" s="11" t="s">
        <v>242</v>
      </c>
      <c r="B10" s="12" t="s">
        <v>243</v>
      </c>
      <c r="C10" s="29">
        <v>7457000</v>
      </c>
      <c r="D10" s="14"/>
      <c r="E10" s="13"/>
      <c r="F10" s="15"/>
      <c r="G10" s="15"/>
      <c r="H10" s="15"/>
      <c r="I10" s="15"/>
      <c r="J10" s="15">
        <v>-537031.81000000006</v>
      </c>
      <c r="K10" s="31"/>
      <c r="L10" s="16">
        <f t="shared" si="2"/>
        <v>-537031.81000000006</v>
      </c>
      <c r="M10" s="15">
        <f t="shared" si="1"/>
        <v>6919968.1899999995</v>
      </c>
    </row>
    <row r="11" spans="1:20" ht="15.75" x14ac:dyDescent="0.25">
      <c r="A11" s="11" t="s">
        <v>244</v>
      </c>
      <c r="B11" s="12" t="s">
        <v>245</v>
      </c>
      <c r="C11" s="29">
        <v>450000</v>
      </c>
      <c r="D11" s="14">
        <v>-20000</v>
      </c>
      <c r="E11" s="13">
        <v>22430680.73</v>
      </c>
      <c r="F11" s="15">
        <v>-50000</v>
      </c>
      <c r="G11" s="15">
        <v>-1561051</v>
      </c>
      <c r="H11" s="15">
        <v>-50000</v>
      </c>
      <c r="I11" s="15">
        <v>331758.5</v>
      </c>
      <c r="J11" s="15">
        <v>-393930</v>
      </c>
      <c r="K11" s="31">
        <v>-557124.30000000005</v>
      </c>
      <c r="L11" s="16">
        <f>D11+E11+F11+G11+H11+I11+J11+K11</f>
        <v>20130333.93</v>
      </c>
      <c r="M11" s="15">
        <f t="shared" si="1"/>
        <v>20580333.93</v>
      </c>
    </row>
    <row r="12" spans="1:20" ht="20.25" customHeight="1" x14ac:dyDescent="0.25">
      <c r="A12" s="11" t="s">
        <v>246</v>
      </c>
      <c r="B12" s="12" t="s">
        <v>247</v>
      </c>
      <c r="C12" s="29">
        <v>176551762.13</v>
      </c>
      <c r="D12" s="14">
        <v>-64031598.840000004</v>
      </c>
      <c r="E12" s="13">
        <v>-857614.73</v>
      </c>
      <c r="F12" s="15">
        <v>32538.37</v>
      </c>
      <c r="G12" s="15">
        <v>359618.46</v>
      </c>
      <c r="H12" s="15">
        <v>397619.8</v>
      </c>
      <c r="I12" s="15">
        <v>11078461.82</v>
      </c>
      <c r="J12" s="15">
        <v>-121563.83</v>
      </c>
      <c r="K12" s="31">
        <v>-394307.48</v>
      </c>
      <c r="L12" s="16">
        <f>D12+E12+F12+G12+H12+I12+J12+K12</f>
        <v>-53536846.43</v>
      </c>
      <c r="M12" s="15">
        <f t="shared" si="1"/>
        <v>123014915.69999999</v>
      </c>
    </row>
    <row r="13" spans="1:20" ht="20.25" customHeight="1" x14ac:dyDescent="0.25">
      <c r="A13" s="11" t="s">
        <v>325</v>
      </c>
      <c r="B13" s="27" t="s">
        <v>327</v>
      </c>
      <c r="C13" s="30"/>
      <c r="D13" s="14"/>
      <c r="E13" s="13"/>
      <c r="F13" s="15"/>
      <c r="G13" s="15"/>
      <c r="H13" s="15"/>
      <c r="I13" s="15"/>
      <c r="J13" s="9">
        <f>J14</f>
        <v>0</v>
      </c>
      <c r="K13" s="9">
        <f>K14</f>
        <v>585075</v>
      </c>
      <c r="L13" s="9">
        <f>L14</f>
        <v>585075</v>
      </c>
      <c r="M13" s="10">
        <f t="shared" si="1"/>
        <v>585075</v>
      </c>
    </row>
    <row r="14" spans="1:20" ht="20.25" customHeight="1" x14ac:dyDescent="0.25">
      <c r="A14" s="11" t="s">
        <v>326</v>
      </c>
      <c r="B14" s="28" t="s">
        <v>328</v>
      </c>
      <c r="C14" s="29"/>
      <c r="D14" s="14"/>
      <c r="E14" s="13"/>
      <c r="F14" s="15"/>
      <c r="G14" s="15"/>
      <c r="H14" s="15"/>
      <c r="I14" s="15"/>
      <c r="J14" s="15"/>
      <c r="K14" s="31">
        <v>585075</v>
      </c>
      <c r="L14" s="16">
        <f>K14</f>
        <v>585075</v>
      </c>
      <c r="M14" s="15">
        <f t="shared" si="1"/>
        <v>585075</v>
      </c>
    </row>
    <row r="15" spans="1:20" ht="36" customHeight="1" x14ac:dyDescent="0.25">
      <c r="A15" s="7" t="s">
        <v>248</v>
      </c>
      <c r="B15" s="8" t="s">
        <v>249</v>
      </c>
      <c r="C15" s="24">
        <f>C17+C16</f>
        <v>17882800</v>
      </c>
      <c r="D15" s="10">
        <f>D17+D16</f>
        <v>0</v>
      </c>
      <c r="E15" s="24">
        <f>E16+E17</f>
        <v>7061035</v>
      </c>
      <c r="F15" s="10">
        <f t="shared" ref="F15:K15" si="3">F17+F16</f>
        <v>0</v>
      </c>
      <c r="G15" s="10">
        <f t="shared" si="3"/>
        <v>3500</v>
      </c>
      <c r="H15" s="9">
        <f t="shared" si="3"/>
        <v>60000</v>
      </c>
      <c r="I15" s="9">
        <f t="shared" si="3"/>
        <v>-5851572.75</v>
      </c>
      <c r="J15" s="9">
        <f t="shared" si="3"/>
        <v>0</v>
      </c>
      <c r="K15" s="9">
        <f t="shared" si="3"/>
        <v>0</v>
      </c>
      <c r="L15" s="9">
        <f>L16+L17</f>
        <v>1272962.25</v>
      </c>
      <c r="M15" s="10">
        <f t="shared" si="1"/>
        <v>19155762.25</v>
      </c>
    </row>
    <row r="16" spans="1:20" ht="36" customHeight="1" x14ac:dyDescent="0.25">
      <c r="A16" s="11" t="s">
        <v>250</v>
      </c>
      <c r="B16" s="12" t="s">
        <v>322</v>
      </c>
      <c r="C16" s="29">
        <v>60000</v>
      </c>
      <c r="D16" s="32">
        <v>-10000</v>
      </c>
      <c r="E16" s="13">
        <v>-50000</v>
      </c>
      <c r="F16" s="16"/>
      <c r="G16" s="16"/>
      <c r="H16" s="16"/>
      <c r="I16" s="16"/>
      <c r="J16" s="16"/>
      <c r="K16" s="31"/>
      <c r="L16" s="16">
        <f t="shared" ref="L16:L17" si="4">D16+E16+F16+G16+H16+I16+J16+K16</f>
        <v>-60000</v>
      </c>
      <c r="M16" s="15">
        <f t="shared" si="1"/>
        <v>0</v>
      </c>
    </row>
    <row r="17" spans="1:13" ht="49.5" customHeight="1" x14ac:dyDescent="0.25">
      <c r="A17" s="11" t="s">
        <v>321</v>
      </c>
      <c r="B17" s="12" t="s">
        <v>251</v>
      </c>
      <c r="C17" s="29">
        <v>17822800</v>
      </c>
      <c r="D17" s="32">
        <v>10000</v>
      </c>
      <c r="E17" s="13">
        <v>7111035</v>
      </c>
      <c r="F17" s="17"/>
      <c r="G17" s="17">
        <v>3500</v>
      </c>
      <c r="H17" s="17">
        <v>60000</v>
      </c>
      <c r="I17" s="17">
        <v>-5851572.75</v>
      </c>
      <c r="J17" s="17"/>
      <c r="K17" s="31"/>
      <c r="L17" s="16">
        <f t="shared" si="4"/>
        <v>1332962.25</v>
      </c>
      <c r="M17" s="15">
        <f t="shared" si="1"/>
        <v>19155762.25</v>
      </c>
    </row>
    <row r="18" spans="1:13" ht="20.25" customHeight="1" x14ac:dyDescent="0.25">
      <c r="A18" s="7" t="s">
        <v>252</v>
      </c>
      <c r="B18" s="8" t="s">
        <v>253</v>
      </c>
      <c r="C18" s="24">
        <f>C19+C20+C21+C22+C23+C24</f>
        <v>81026158.219999999</v>
      </c>
      <c r="D18" s="26">
        <f t="shared" ref="D18:L18" si="5">D19+D20+D21+D22+D23+D24</f>
        <v>131074914.73999999</v>
      </c>
      <c r="E18" s="24">
        <f>E19+E20+E21+E22+E23+E24</f>
        <v>-6480000</v>
      </c>
      <c r="F18" s="26">
        <f>F19+F20+F21+F22+F23+F24</f>
        <v>0</v>
      </c>
      <c r="G18" s="26">
        <f t="shared" si="5"/>
        <v>1735975.18</v>
      </c>
      <c r="H18" s="18">
        <f t="shared" si="5"/>
        <v>8356800</v>
      </c>
      <c r="I18" s="18">
        <f t="shared" si="5"/>
        <v>-463682.48</v>
      </c>
      <c r="J18" s="18">
        <f t="shared" si="5"/>
        <v>-4444245.9399999995</v>
      </c>
      <c r="K18" s="18">
        <f t="shared" si="5"/>
        <v>186517.77000000002</v>
      </c>
      <c r="L18" s="18">
        <f t="shared" si="5"/>
        <v>129966279.27</v>
      </c>
      <c r="M18" s="9">
        <f t="shared" si="1"/>
        <v>210992437.49000001</v>
      </c>
    </row>
    <row r="19" spans="1:13" ht="17.25" customHeight="1" x14ac:dyDescent="0.25">
      <c r="A19" s="11" t="s">
        <v>254</v>
      </c>
      <c r="B19" s="12" t="s">
        <v>255</v>
      </c>
      <c r="C19" s="13">
        <v>760748.3</v>
      </c>
      <c r="D19" s="17">
        <v>2003337.58</v>
      </c>
      <c r="E19" s="13"/>
      <c r="F19" s="19"/>
      <c r="G19" s="15"/>
      <c r="H19" s="15"/>
      <c r="I19" s="15"/>
      <c r="J19" s="15">
        <v>1833829.8</v>
      </c>
      <c r="K19" s="31"/>
      <c r="L19" s="16">
        <f t="shared" ref="L19:L52" si="6">D19+E19+F19+G19+H19+I19+J19+K19</f>
        <v>3837167.38</v>
      </c>
      <c r="M19" s="15">
        <f t="shared" si="1"/>
        <v>4597915.68</v>
      </c>
    </row>
    <row r="20" spans="1:13" ht="18" customHeight="1" x14ac:dyDescent="0.25">
      <c r="A20" s="11" t="s">
        <v>256</v>
      </c>
      <c r="B20" s="12" t="s">
        <v>257</v>
      </c>
      <c r="C20" s="13">
        <v>1960000</v>
      </c>
      <c r="D20" s="17">
        <v>0</v>
      </c>
      <c r="E20" s="13">
        <v>-1960000</v>
      </c>
      <c r="F20" s="19"/>
      <c r="G20" s="15"/>
      <c r="H20" s="15"/>
      <c r="I20" s="15"/>
      <c r="J20" s="15"/>
      <c r="K20" s="31"/>
      <c r="L20" s="16">
        <f t="shared" si="6"/>
        <v>-1960000</v>
      </c>
      <c r="M20" s="15">
        <f t="shared" si="1"/>
        <v>0</v>
      </c>
    </row>
    <row r="21" spans="1:13" ht="18.75" customHeight="1" x14ac:dyDescent="0.25">
      <c r="A21" s="11" t="s">
        <v>258</v>
      </c>
      <c r="B21" s="12" t="s">
        <v>259</v>
      </c>
      <c r="C21" s="13">
        <v>0</v>
      </c>
      <c r="D21" s="17">
        <v>0</v>
      </c>
      <c r="E21" s="13"/>
      <c r="F21" s="19"/>
      <c r="G21" s="15"/>
      <c r="H21" s="15"/>
      <c r="I21" s="15"/>
      <c r="J21" s="15"/>
      <c r="K21" s="31"/>
      <c r="L21" s="16">
        <f t="shared" si="6"/>
        <v>0</v>
      </c>
      <c r="M21" s="15">
        <f t="shared" si="1"/>
        <v>0</v>
      </c>
    </row>
    <row r="22" spans="1:13" ht="20.25" customHeight="1" x14ac:dyDescent="0.25">
      <c r="A22" s="11" t="s">
        <v>260</v>
      </c>
      <c r="B22" s="12" t="s">
        <v>261</v>
      </c>
      <c r="C22" s="13">
        <v>3387.08</v>
      </c>
      <c r="D22" s="17">
        <v>0</v>
      </c>
      <c r="E22" s="13"/>
      <c r="F22" s="19"/>
      <c r="G22" s="15"/>
      <c r="H22" s="15"/>
      <c r="I22" s="15"/>
      <c r="J22" s="15"/>
      <c r="K22" s="31"/>
      <c r="L22" s="16">
        <f t="shared" si="6"/>
        <v>0</v>
      </c>
      <c r="M22" s="15">
        <f t="shared" si="1"/>
        <v>3387.08</v>
      </c>
    </row>
    <row r="23" spans="1:13" ht="33.75" customHeight="1" x14ac:dyDescent="0.25">
      <c r="A23" s="11" t="s">
        <v>262</v>
      </c>
      <c r="B23" s="12" t="s">
        <v>263</v>
      </c>
      <c r="C23" s="13">
        <v>77447022.840000004</v>
      </c>
      <c r="D23" s="17">
        <v>-14422.84</v>
      </c>
      <c r="E23" s="13">
        <v>-4350000</v>
      </c>
      <c r="F23" s="17"/>
      <c r="G23" s="15">
        <v>1800000</v>
      </c>
      <c r="H23" s="15">
        <v>800000</v>
      </c>
      <c r="I23" s="15">
        <v>-463682.48</v>
      </c>
      <c r="J23" s="15">
        <v>29220.1</v>
      </c>
      <c r="K23" s="31">
        <v>290898</v>
      </c>
      <c r="L23" s="16">
        <f t="shared" si="6"/>
        <v>-1907987.2199999997</v>
      </c>
      <c r="M23" s="15">
        <f t="shared" si="1"/>
        <v>75539035.620000005</v>
      </c>
    </row>
    <row r="24" spans="1:13" ht="14.25" customHeight="1" x14ac:dyDescent="0.25">
      <c r="A24" s="11" t="s">
        <v>264</v>
      </c>
      <c r="B24" s="12" t="s">
        <v>265</v>
      </c>
      <c r="C24" s="13">
        <v>855000</v>
      </c>
      <c r="D24" s="17">
        <v>129086000</v>
      </c>
      <c r="E24" s="13">
        <v>-170000</v>
      </c>
      <c r="F24" s="19"/>
      <c r="G24" s="15">
        <v>-64024.82</v>
      </c>
      <c r="H24" s="15">
        <v>7556800</v>
      </c>
      <c r="I24" s="15"/>
      <c r="J24" s="15">
        <v>-6307295.8399999999</v>
      </c>
      <c r="K24" s="31">
        <v>-104380.23</v>
      </c>
      <c r="L24" s="16">
        <f t="shared" si="6"/>
        <v>129997099.11</v>
      </c>
      <c r="M24" s="15">
        <f t="shared" si="1"/>
        <v>130852099.11</v>
      </c>
    </row>
    <row r="25" spans="1:13" ht="15.75" customHeight="1" x14ac:dyDescent="0.25">
      <c r="A25" s="7" t="s">
        <v>266</v>
      </c>
      <c r="B25" s="8" t="s">
        <v>267</v>
      </c>
      <c r="C25" s="24">
        <f>C26+C27+C28+C29</f>
        <v>129199222.01000001</v>
      </c>
      <c r="D25" s="10">
        <f t="shared" ref="D25:J25" si="7">D26+D27+D28+D29</f>
        <v>4400737.75</v>
      </c>
      <c r="E25" s="24">
        <f>E26+E27+E28+E29</f>
        <v>-801304.40000000014</v>
      </c>
      <c r="F25" s="10">
        <f>F26+F27+F28+F29</f>
        <v>43038387.230000004</v>
      </c>
      <c r="G25" s="10">
        <f t="shared" si="7"/>
        <v>4126728.6700000004</v>
      </c>
      <c r="H25" s="10">
        <f t="shared" si="7"/>
        <v>9935795.8699999992</v>
      </c>
      <c r="I25" s="10">
        <f t="shared" si="7"/>
        <v>3666866.24</v>
      </c>
      <c r="J25" s="10">
        <f t="shared" si="7"/>
        <v>2030096.6400000001</v>
      </c>
      <c r="K25" s="10">
        <f>K26+K27+K28+K29</f>
        <v>-2256956.69</v>
      </c>
      <c r="L25" s="10">
        <f>L26+L27+L28+L29</f>
        <v>64140351.310000002</v>
      </c>
      <c r="M25" s="9">
        <f t="shared" si="1"/>
        <v>193339573.31999999</v>
      </c>
    </row>
    <row r="26" spans="1:13" ht="15.75" x14ac:dyDescent="0.25">
      <c r="A26" s="11" t="s">
        <v>268</v>
      </c>
      <c r="B26" s="12" t="s">
        <v>269</v>
      </c>
      <c r="C26" s="13">
        <v>4537040</v>
      </c>
      <c r="D26" s="15">
        <v>2436630.4</v>
      </c>
      <c r="E26" s="13">
        <v>1533640.8</v>
      </c>
      <c r="F26" s="15">
        <v>-32538.37</v>
      </c>
      <c r="G26" s="15">
        <v>5609.04</v>
      </c>
      <c r="H26" s="15">
        <v>705267.18</v>
      </c>
      <c r="I26" s="15">
        <v>2132488.31</v>
      </c>
      <c r="J26" s="15">
        <v>-186492.75</v>
      </c>
      <c r="K26" s="31">
        <v>50353.9</v>
      </c>
      <c r="L26" s="16">
        <f t="shared" si="6"/>
        <v>6644958.5099999998</v>
      </c>
      <c r="M26" s="15">
        <f t="shared" si="1"/>
        <v>11181998.51</v>
      </c>
    </row>
    <row r="27" spans="1:13" ht="15.75" x14ac:dyDescent="0.25">
      <c r="A27" s="11" t="s">
        <v>270</v>
      </c>
      <c r="B27" s="12" t="s">
        <v>271</v>
      </c>
      <c r="C27" s="13">
        <v>12275343.939999999</v>
      </c>
      <c r="D27" s="15">
        <v>-345206.87</v>
      </c>
      <c r="E27" s="13"/>
      <c r="F27" s="15"/>
      <c r="G27" s="15">
        <v>-156538.4</v>
      </c>
      <c r="H27" s="15"/>
      <c r="I27" s="15"/>
      <c r="J27" s="15">
        <v>745809.68</v>
      </c>
      <c r="K27" s="31">
        <v>-390076.08</v>
      </c>
      <c r="L27" s="16">
        <f t="shared" si="6"/>
        <v>-146011.66999999998</v>
      </c>
      <c r="M27" s="15">
        <f t="shared" si="1"/>
        <v>12129332.27</v>
      </c>
    </row>
    <row r="28" spans="1:13" ht="15.75" x14ac:dyDescent="0.25">
      <c r="A28" s="11" t="s">
        <v>272</v>
      </c>
      <c r="B28" s="12" t="s">
        <v>273</v>
      </c>
      <c r="C28" s="13">
        <v>112385481.37</v>
      </c>
      <c r="D28" s="15">
        <v>2309314.2200000002</v>
      </c>
      <c r="E28" s="13">
        <v>-2334945.2000000002</v>
      </c>
      <c r="F28" s="15">
        <v>43070925.600000001</v>
      </c>
      <c r="G28" s="15">
        <v>4277658.03</v>
      </c>
      <c r="H28" s="15">
        <v>9230528.6899999995</v>
      </c>
      <c r="I28" s="15">
        <v>1534377.93</v>
      </c>
      <c r="J28" s="15">
        <v>1470779.71</v>
      </c>
      <c r="K28" s="31">
        <v>-1917234.51</v>
      </c>
      <c r="L28" s="16">
        <f t="shared" si="6"/>
        <v>57641404.470000006</v>
      </c>
      <c r="M28" s="15">
        <f t="shared" si="1"/>
        <v>170026885.84</v>
      </c>
    </row>
    <row r="29" spans="1:13" ht="31.5" x14ac:dyDescent="0.25">
      <c r="A29" s="11" t="s">
        <v>274</v>
      </c>
      <c r="B29" s="12" t="s">
        <v>275</v>
      </c>
      <c r="C29" s="13">
        <v>1356.7</v>
      </c>
      <c r="D29" s="15"/>
      <c r="E29" s="13"/>
      <c r="F29" s="15"/>
      <c r="G29" s="15"/>
      <c r="H29" s="15"/>
      <c r="I29" s="15"/>
      <c r="J29" s="15"/>
      <c r="K29" s="31"/>
      <c r="L29" s="16">
        <f t="shared" si="6"/>
        <v>0</v>
      </c>
      <c r="M29" s="15">
        <f t="shared" si="1"/>
        <v>1356.7</v>
      </c>
    </row>
    <row r="30" spans="1:13" ht="15.75" x14ac:dyDescent="0.25">
      <c r="A30" s="7" t="s">
        <v>276</v>
      </c>
      <c r="B30" s="8" t="s">
        <v>277</v>
      </c>
      <c r="C30" s="24">
        <f>C31+C32+C33+C34+C35+C36</f>
        <v>907526815.25999999</v>
      </c>
      <c r="D30" s="25">
        <f t="shared" ref="D30:I30" si="8">D31+D32+D33+D34+D35+D36</f>
        <v>43964760.57</v>
      </c>
      <c r="E30" s="24">
        <f>E31+E32+E33+E34+E35+E36</f>
        <v>-7997732.5900000008</v>
      </c>
      <c r="F30" s="20">
        <f>F31+F32+F33+F34+F35+F36</f>
        <v>0</v>
      </c>
      <c r="G30" s="25">
        <f t="shared" si="8"/>
        <v>2167351</v>
      </c>
      <c r="H30" s="20">
        <f t="shared" si="8"/>
        <v>-517324.44</v>
      </c>
      <c r="I30" s="20">
        <f t="shared" si="8"/>
        <v>44993198.079999998</v>
      </c>
      <c r="J30" s="10">
        <f>J31+J32+J33+J34+J35+J36</f>
        <v>4062958.52</v>
      </c>
      <c r="K30" s="10">
        <f>K31+K32+K33+K34+K35+K36</f>
        <v>-3111876.0600000005</v>
      </c>
      <c r="L30" s="10">
        <f>L31+L32+L33+L34+L35+L36</f>
        <v>83561335.080000013</v>
      </c>
      <c r="M30" s="9">
        <f t="shared" si="1"/>
        <v>991088150.34000003</v>
      </c>
    </row>
    <row r="31" spans="1:13" ht="15.75" x14ac:dyDescent="0.25">
      <c r="A31" s="11" t="s">
        <v>278</v>
      </c>
      <c r="B31" s="12" t="s">
        <v>279</v>
      </c>
      <c r="C31" s="13">
        <v>348690077.99000001</v>
      </c>
      <c r="D31" s="19">
        <v>4030303.03</v>
      </c>
      <c r="E31" s="13">
        <v>-2588444.14</v>
      </c>
      <c r="F31" s="15"/>
      <c r="G31" s="15">
        <v>-30000</v>
      </c>
      <c r="H31" s="15">
        <v>-17278.650000000001</v>
      </c>
      <c r="I31" s="15">
        <v>18903746.350000001</v>
      </c>
      <c r="J31" s="15"/>
      <c r="K31" s="31">
        <v>-1400000</v>
      </c>
      <c r="L31" s="16">
        <f t="shared" si="6"/>
        <v>18898326.59</v>
      </c>
      <c r="M31" s="15">
        <f t="shared" si="1"/>
        <v>367588404.57999998</v>
      </c>
    </row>
    <row r="32" spans="1:13" ht="15.75" x14ac:dyDescent="0.25">
      <c r="A32" s="11" t="s">
        <v>280</v>
      </c>
      <c r="B32" s="12" t="s">
        <v>281</v>
      </c>
      <c r="C32" s="13">
        <v>453015269.60000002</v>
      </c>
      <c r="D32" s="19">
        <v>3506559.33</v>
      </c>
      <c r="E32" s="13">
        <v>-4227696</v>
      </c>
      <c r="F32" s="15"/>
      <c r="G32" s="15">
        <v>600100</v>
      </c>
      <c r="H32" s="15">
        <v>-500045.79</v>
      </c>
      <c r="I32" s="15">
        <v>17266943.82</v>
      </c>
      <c r="J32" s="15">
        <v>5231917.99</v>
      </c>
      <c r="K32" s="31">
        <v>-1238689.6000000001</v>
      </c>
      <c r="L32" s="16">
        <f t="shared" si="6"/>
        <v>20639089.75</v>
      </c>
      <c r="M32" s="15">
        <f t="shared" si="1"/>
        <v>473654359.35000002</v>
      </c>
    </row>
    <row r="33" spans="1:13" ht="15.75" x14ac:dyDescent="0.25">
      <c r="A33" s="11" t="s">
        <v>282</v>
      </c>
      <c r="B33" s="12" t="s">
        <v>283</v>
      </c>
      <c r="C33" s="13">
        <v>90783354.879999995</v>
      </c>
      <c r="D33" s="19">
        <v>2126804.75</v>
      </c>
      <c r="E33" s="13">
        <v>-679549.04</v>
      </c>
      <c r="F33" s="15"/>
      <c r="G33" s="15"/>
      <c r="H33" s="15"/>
      <c r="I33" s="15">
        <v>9160509.2200000007</v>
      </c>
      <c r="J33" s="15">
        <v>20912</v>
      </c>
      <c r="K33" s="31">
        <v>32873.800000000003</v>
      </c>
      <c r="L33" s="16">
        <f t="shared" si="6"/>
        <v>10661550.73</v>
      </c>
      <c r="M33" s="15">
        <f t="shared" si="1"/>
        <v>101444905.61</v>
      </c>
    </row>
    <row r="34" spans="1:13" ht="31.5" x14ac:dyDescent="0.25">
      <c r="A34" s="11" t="s">
        <v>284</v>
      </c>
      <c r="B34" s="12" t="s">
        <v>285</v>
      </c>
      <c r="C34" s="13">
        <v>760700</v>
      </c>
      <c r="D34" s="17"/>
      <c r="E34" s="13">
        <v>-441000</v>
      </c>
      <c r="F34" s="15">
        <v>1300</v>
      </c>
      <c r="G34" s="15">
        <v>36000</v>
      </c>
      <c r="H34" s="15"/>
      <c r="I34" s="15">
        <v>3000</v>
      </c>
      <c r="J34" s="15">
        <v>-92260</v>
      </c>
      <c r="K34" s="31"/>
      <c r="L34" s="16">
        <f t="shared" si="6"/>
        <v>-492960</v>
      </c>
      <c r="M34" s="15">
        <f t="shared" si="1"/>
        <v>267740</v>
      </c>
    </row>
    <row r="35" spans="1:13" ht="15.75" x14ac:dyDescent="0.25">
      <c r="A35" s="11" t="s">
        <v>286</v>
      </c>
      <c r="B35" s="12" t="s">
        <v>287</v>
      </c>
      <c r="C35" s="13">
        <v>9285357.5</v>
      </c>
      <c r="D35" s="19"/>
      <c r="E35" s="13"/>
      <c r="F35" s="15"/>
      <c r="G35" s="15">
        <v>1561051</v>
      </c>
      <c r="H35" s="15"/>
      <c r="I35" s="15"/>
      <c r="J35" s="15">
        <v>-1128528.1000000001</v>
      </c>
      <c r="K35" s="31">
        <v>-3971.16</v>
      </c>
      <c r="L35" s="16">
        <f t="shared" si="6"/>
        <v>428551.73999999993</v>
      </c>
      <c r="M35" s="15">
        <f t="shared" si="1"/>
        <v>9713909.2400000002</v>
      </c>
    </row>
    <row r="36" spans="1:13" ht="15.75" x14ac:dyDescent="0.25">
      <c r="A36" s="11" t="s">
        <v>288</v>
      </c>
      <c r="B36" s="12" t="s">
        <v>289</v>
      </c>
      <c r="C36" s="13">
        <v>4992055.29</v>
      </c>
      <c r="D36" s="19">
        <v>34301093.460000001</v>
      </c>
      <c r="E36" s="13">
        <v>-61043.41</v>
      </c>
      <c r="F36" s="15">
        <v>-1300</v>
      </c>
      <c r="G36" s="15">
        <v>200</v>
      </c>
      <c r="H36" s="15"/>
      <c r="I36" s="15">
        <v>-341001.31</v>
      </c>
      <c r="J36" s="15">
        <v>30916.63</v>
      </c>
      <c r="K36" s="31">
        <v>-502089.1</v>
      </c>
      <c r="L36" s="16">
        <f t="shared" si="6"/>
        <v>33426776.270000003</v>
      </c>
      <c r="M36" s="15">
        <f t="shared" ref="M36:M52" si="9">C36+L36</f>
        <v>38418831.560000002</v>
      </c>
    </row>
    <row r="37" spans="1:13" ht="15.75" x14ac:dyDescent="0.25">
      <c r="A37" s="7" t="s">
        <v>290</v>
      </c>
      <c r="B37" s="8" t="s">
        <v>291</v>
      </c>
      <c r="C37" s="24">
        <f>C38+C39</f>
        <v>46123862.840000004</v>
      </c>
      <c r="D37" s="26">
        <f t="shared" ref="D37:J37" si="10">D38+D39</f>
        <v>110294113.42999999</v>
      </c>
      <c r="E37" s="24">
        <f>E38+E39</f>
        <v>17251514.18</v>
      </c>
      <c r="F37" s="26">
        <f>F38+F39</f>
        <v>0</v>
      </c>
      <c r="G37" s="26">
        <f t="shared" si="10"/>
        <v>2000000</v>
      </c>
      <c r="H37" s="26">
        <f t="shared" si="10"/>
        <v>700000</v>
      </c>
      <c r="I37" s="26">
        <f t="shared" si="10"/>
        <v>9761504.2699999996</v>
      </c>
      <c r="J37" s="26">
        <f t="shared" si="10"/>
        <v>-101420.18</v>
      </c>
      <c r="K37" s="10">
        <f>K38+K39</f>
        <v>399979</v>
      </c>
      <c r="L37" s="10">
        <f>L38+L39</f>
        <v>140305690.69999999</v>
      </c>
      <c r="M37" s="10">
        <f t="shared" si="9"/>
        <v>186429553.53999999</v>
      </c>
    </row>
    <row r="38" spans="1:13" ht="15.75" x14ac:dyDescent="0.25">
      <c r="A38" s="11" t="s">
        <v>292</v>
      </c>
      <c r="B38" s="12" t="s">
        <v>293</v>
      </c>
      <c r="C38" s="13">
        <v>43065514.18</v>
      </c>
      <c r="D38" s="19">
        <v>87953022.689999998</v>
      </c>
      <c r="E38" s="13">
        <v>17251514.18</v>
      </c>
      <c r="F38" s="19"/>
      <c r="G38" s="19">
        <v>1700000</v>
      </c>
      <c r="H38" s="19">
        <v>400000</v>
      </c>
      <c r="I38" s="19">
        <v>7151771.2699999996</v>
      </c>
      <c r="J38" s="19">
        <v>-101420.18</v>
      </c>
      <c r="K38" s="31">
        <v>399979</v>
      </c>
      <c r="L38" s="16">
        <f t="shared" si="6"/>
        <v>114754866.95999999</v>
      </c>
      <c r="M38" s="15">
        <f t="shared" si="9"/>
        <v>157820381.13999999</v>
      </c>
    </row>
    <row r="39" spans="1:13" ht="15" customHeight="1" x14ac:dyDescent="0.25">
      <c r="A39" s="11" t="s">
        <v>294</v>
      </c>
      <c r="B39" s="12" t="s">
        <v>295</v>
      </c>
      <c r="C39" s="13">
        <v>3058348.66</v>
      </c>
      <c r="D39" s="19">
        <v>22341090.739999998</v>
      </c>
      <c r="E39" s="13"/>
      <c r="F39" s="19"/>
      <c r="G39" s="19">
        <v>300000</v>
      </c>
      <c r="H39" s="19">
        <v>300000</v>
      </c>
      <c r="I39" s="19">
        <v>2609733</v>
      </c>
      <c r="J39" s="19"/>
      <c r="K39" s="31"/>
      <c r="L39" s="16">
        <f t="shared" si="6"/>
        <v>25550823.739999998</v>
      </c>
      <c r="M39" s="15">
        <f t="shared" si="9"/>
        <v>28609172.399999999</v>
      </c>
    </row>
    <row r="40" spans="1:13" ht="15.75" x14ac:dyDescent="0.25">
      <c r="A40" s="7" t="s">
        <v>296</v>
      </c>
      <c r="B40" s="8" t="s">
        <v>297</v>
      </c>
      <c r="C40" s="24">
        <f>C41+C42+C43+C44</f>
        <v>102095632.28999999</v>
      </c>
      <c r="D40" s="25">
        <f t="shared" ref="D40:J40" si="11">D41+D42+D43+D44</f>
        <v>679102.79</v>
      </c>
      <c r="E40" s="24">
        <f>E41+E42+E43+E44</f>
        <v>70000</v>
      </c>
      <c r="F40" s="25">
        <f>F41+F42+F43+F44</f>
        <v>644461.96</v>
      </c>
      <c r="G40" s="25">
        <f t="shared" si="11"/>
        <v>0</v>
      </c>
      <c r="H40" s="20">
        <f t="shared" si="11"/>
        <v>19789838.02</v>
      </c>
      <c r="I40" s="20">
        <f t="shared" si="11"/>
        <v>200000</v>
      </c>
      <c r="J40" s="20">
        <f t="shared" si="11"/>
        <v>-6098775.9899999993</v>
      </c>
      <c r="K40" s="10">
        <f>K41+K42+K43+K44</f>
        <v>-171257.28999999998</v>
      </c>
      <c r="L40" s="10">
        <f>L41+L42+L43+L44</f>
        <v>15113369.490000002</v>
      </c>
      <c r="M40" s="9">
        <f t="shared" si="9"/>
        <v>117209001.78</v>
      </c>
    </row>
    <row r="41" spans="1:13" ht="15.75" x14ac:dyDescent="0.25">
      <c r="A41" s="11" t="s">
        <v>298</v>
      </c>
      <c r="B41" s="12" t="s">
        <v>299</v>
      </c>
      <c r="C41" s="13">
        <v>3400000</v>
      </c>
      <c r="D41" s="15"/>
      <c r="E41" s="13"/>
      <c r="F41" s="15"/>
      <c r="G41" s="15"/>
      <c r="H41" s="15"/>
      <c r="I41" s="15"/>
      <c r="J41" s="15"/>
      <c r="K41" s="15">
        <v>-32707.42</v>
      </c>
      <c r="L41" s="16">
        <f t="shared" si="6"/>
        <v>-32707.42</v>
      </c>
      <c r="M41" s="15">
        <f t="shared" si="9"/>
        <v>3367292.58</v>
      </c>
    </row>
    <row r="42" spans="1:13" ht="15.75" x14ac:dyDescent="0.25">
      <c r="A42" s="11" t="s">
        <v>300</v>
      </c>
      <c r="B42" s="12" t="s">
        <v>301</v>
      </c>
      <c r="C42" s="13">
        <v>6916172.21</v>
      </c>
      <c r="D42" s="15">
        <v>679102.79</v>
      </c>
      <c r="E42" s="13">
        <v>70000</v>
      </c>
      <c r="F42" s="15">
        <v>50000</v>
      </c>
      <c r="G42" s="15"/>
      <c r="H42" s="15">
        <v>50000</v>
      </c>
      <c r="I42" s="15">
        <v>200000</v>
      </c>
      <c r="J42" s="15">
        <v>4458440.38</v>
      </c>
      <c r="K42" s="31">
        <v>50000</v>
      </c>
      <c r="L42" s="16">
        <f t="shared" si="6"/>
        <v>5557543.1699999999</v>
      </c>
      <c r="M42" s="15">
        <f t="shared" si="9"/>
        <v>12473715.379999999</v>
      </c>
    </row>
    <row r="43" spans="1:13" ht="15.75" x14ac:dyDescent="0.25">
      <c r="A43" s="11" t="s">
        <v>302</v>
      </c>
      <c r="B43" s="12" t="s">
        <v>303</v>
      </c>
      <c r="C43" s="13">
        <v>91229460.079999998</v>
      </c>
      <c r="D43" s="15"/>
      <c r="E43" s="13"/>
      <c r="F43" s="15">
        <v>594461.96</v>
      </c>
      <c r="G43" s="15"/>
      <c r="H43" s="15">
        <v>19639838.02</v>
      </c>
      <c r="I43" s="15"/>
      <c r="J43" s="15">
        <v>-10557216.369999999</v>
      </c>
      <c r="K43" s="31">
        <v>-188549.87</v>
      </c>
      <c r="L43" s="16">
        <f t="shared" si="6"/>
        <v>9488533.7400000021</v>
      </c>
      <c r="M43" s="15">
        <f t="shared" si="9"/>
        <v>100717993.81999999</v>
      </c>
    </row>
    <row r="44" spans="1:13" ht="15.75" x14ac:dyDescent="0.25">
      <c r="A44" s="11" t="s">
        <v>304</v>
      </c>
      <c r="B44" s="12" t="s">
        <v>305</v>
      </c>
      <c r="C44" s="13">
        <v>550000</v>
      </c>
      <c r="D44" s="15"/>
      <c r="E44" s="13"/>
      <c r="F44" s="15"/>
      <c r="G44" s="15"/>
      <c r="H44" s="15">
        <v>100000</v>
      </c>
      <c r="I44" s="15"/>
      <c r="J44" s="15"/>
      <c r="K44" s="31"/>
      <c r="L44" s="16">
        <f t="shared" si="6"/>
        <v>100000</v>
      </c>
      <c r="M44" s="15">
        <f t="shared" si="9"/>
        <v>650000</v>
      </c>
    </row>
    <row r="45" spans="1:13" ht="15.75" x14ac:dyDescent="0.25">
      <c r="A45" s="7" t="s">
        <v>306</v>
      </c>
      <c r="B45" s="8" t="s">
        <v>307</v>
      </c>
      <c r="C45" s="24">
        <f>C46+C48+C47</f>
        <v>93515804.010000005</v>
      </c>
      <c r="D45" s="10">
        <f>D46+D48+D47</f>
        <v>8487442.3399999999</v>
      </c>
      <c r="E45" s="24">
        <f>E46+E47+E48</f>
        <v>-1419416.53</v>
      </c>
      <c r="F45" s="10">
        <f t="shared" ref="F45:L45" si="12">F46+F48+F47</f>
        <v>0</v>
      </c>
      <c r="G45" s="10">
        <f t="shared" si="12"/>
        <v>0</v>
      </c>
      <c r="H45" s="9">
        <f t="shared" si="12"/>
        <v>0</v>
      </c>
      <c r="I45" s="9">
        <f t="shared" si="12"/>
        <v>5618681.2200000007</v>
      </c>
      <c r="J45" s="9">
        <f t="shared" si="12"/>
        <v>-110495.95</v>
      </c>
      <c r="K45" s="9">
        <f t="shared" si="12"/>
        <v>309245.14</v>
      </c>
      <c r="L45" s="9">
        <f t="shared" si="12"/>
        <v>12885456.220000001</v>
      </c>
      <c r="M45" s="9">
        <f t="shared" si="9"/>
        <v>106401260.23</v>
      </c>
    </row>
    <row r="46" spans="1:13" ht="15.75" x14ac:dyDescent="0.25">
      <c r="A46" s="11" t="s">
        <v>308</v>
      </c>
      <c r="B46" s="12" t="s">
        <v>309</v>
      </c>
      <c r="C46" s="13">
        <v>89368440.950000003</v>
      </c>
      <c r="D46" s="15">
        <v>1432413.41</v>
      </c>
      <c r="E46" s="13">
        <v>-1419416.53</v>
      </c>
      <c r="F46" s="15">
        <v>74339.070000000007</v>
      </c>
      <c r="G46" s="15"/>
      <c r="H46" s="15"/>
      <c r="I46" s="15">
        <v>5272085.1900000004</v>
      </c>
      <c r="J46" s="15">
        <v>-110495.95</v>
      </c>
      <c r="K46" s="31">
        <v>237491.86</v>
      </c>
      <c r="L46" s="16">
        <f t="shared" si="6"/>
        <v>5486417.0500000007</v>
      </c>
      <c r="M46" s="15">
        <f t="shared" si="9"/>
        <v>94854858</v>
      </c>
    </row>
    <row r="47" spans="1:13" ht="15.75" x14ac:dyDescent="0.25">
      <c r="A47" s="11" t="s">
        <v>323</v>
      </c>
      <c r="B47" s="12" t="s">
        <v>324</v>
      </c>
      <c r="C47" s="13"/>
      <c r="D47" s="15"/>
      <c r="E47" s="13"/>
      <c r="F47" s="15"/>
      <c r="G47" s="15"/>
      <c r="H47" s="15"/>
      <c r="I47" s="15"/>
      <c r="J47" s="15"/>
      <c r="K47" s="31"/>
      <c r="L47" s="16">
        <f t="shared" si="6"/>
        <v>0</v>
      </c>
      <c r="M47" s="15">
        <f t="shared" si="9"/>
        <v>0</v>
      </c>
    </row>
    <row r="48" spans="1:13" ht="31.5" x14ac:dyDescent="0.25">
      <c r="A48" s="11" t="s">
        <v>310</v>
      </c>
      <c r="B48" s="12" t="s">
        <v>311</v>
      </c>
      <c r="C48" s="13">
        <v>4147363.06</v>
      </c>
      <c r="D48" s="15">
        <v>7055028.9299999997</v>
      </c>
      <c r="E48" s="13"/>
      <c r="F48" s="15">
        <v>-74339.070000000007</v>
      </c>
      <c r="G48" s="15"/>
      <c r="H48" s="15"/>
      <c r="I48" s="15">
        <v>346596.03</v>
      </c>
      <c r="J48" s="15"/>
      <c r="K48" s="31">
        <v>71753.279999999999</v>
      </c>
      <c r="L48" s="16">
        <f t="shared" si="6"/>
        <v>7399039.1699999999</v>
      </c>
      <c r="M48" s="15">
        <f t="shared" si="9"/>
        <v>11546402.23</v>
      </c>
    </row>
    <row r="49" spans="1:13" ht="15.75" x14ac:dyDescent="0.25">
      <c r="A49" s="7" t="s">
        <v>312</v>
      </c>
      <c r="B49" s="8" t="s">
        <v>313</v>
      </c>
      <c r="C49" s="24">
        <f>C50</f>
        <v>3407200</v>
      </c>
      <c r="D49" s="10">
        <f t="shared" ref="D49:L51" si="13">D50</f>
        <v>0</v>
      </c>
      <c r="E49" s="24">
        <f>E50</f>
        <v>0</v>
      </c>
      <c r="F49" s="10">
        <f t="shared" si="13"/>
        <v>0</v>
      </c>
      <c r="G49" s="10">
        <f t="shared" si="13"/>
        <v>0</v>
      </c>
      <c r="H49" s="9">
        <f t="shared" si="13"/>
        <v>0</v>
      </c>
      <c r="I49" s="9">
        <f t="shared" si="13"/>
        <v>139635</v>
      </c>
      <c r="J49" s="9">
        <f t="shared" si="13"/>
        <v>0</v>
      </c>
      <c r="K49" s="9">
        <f t="shared" si="13"/>
        <v>0</v>
      </c>
      <c r="L49" s="9">
        <f t="shared" si="13"/>
        <v>139635</v>
      </c>
      <c r="M49" s="9">
        <f t="shared" si="9"/>
        <v>3546835</v>
      </c>
    </row>
    <row r="50" spans="1:13" ht="15.75" x14ac:dyDescent="0.25">
      <c r="A50" s="11" t="s">
        <v>314</v>
      </c>
      <c r="B50" s="12" t="s">
        <v>315</v>
      </c>
      <c r="C50" s="13">
        <v>3407200</v>
      </c>
      <c r="D50" s="15"/>
      <c r="E50" s="13"/>
      <c r="F50" s="15"/>
      <c r="G50" s="15"/>
      <c r="H50" s="15"/>
      <c r="I50" s="15">
        <v>139635</v>
      </c>
      <c r="J50" s="15"/>
      <c r="K50" s="31"/>
      <c r="L50" s="16">
        <f t="shared" si="6"/>
        <v>139635</v>
      </c>
      <c r="M50" s="15">
        <f t="shared" si="9"/>
        <v>3546835</v>
      </c>
    </row>
    <row r="51" spans="1:13" ht="31.5" x14ac:dyDescent="0.25">
      <c r="A51" s="7" t="s">
        <v>316</v>
      </c>
      <c r="B51" s="8" t="s">
        <v>317</v>
      </c>
      <c r="C51" s="24">
        <f>C52</f>
        <v>13878977.630000001</v>
      </c>
      <c r="D51" s="10">
        <f t="shared" si="13"/>
        <v>0</v>
      </c>
      <c r="E51" s="24">
        <f>E52</f>
        <v>0</v>
      </c>
      <c r="F51" s="10">
        <f>F52</f>
        <v>0</v>
      </c>
      <c r="G51" s="10">
        <f>G52</f>
        <v>0</v>
      </c>
      <c r="H51" s="9">
        <f t="shared" ref="H51:L51" si="14">H52</f>
        <v>0</v>
      </c>
      <c r="I51" s="9">
        <f t="shared" si="14"/>
        <v>0</v>
      </c>
      <c r="J51" s="9">
        <f t="shared" si="14"/>
        <v>-5163500</v>
      </c>
      <c r="K51" s="9">
        <f t="shared" si="14"/>
        <v>0</v>
      </c>
      <c r="L51" s="9">
        <f t="shared" si="14"/>
        <v>-5163500</v>
      </c>
      <c r="M51" s="9">
        <f t="shared" si="9"/>
        <v>8715477.6300000008</v>
      </c>
    </row>
    <row r="52" spans="1:13" ht="31.5" x14ac:dyDescent="0.25">
      <c r="A52" s="11" t="s">
        <v>318</v>
      </c>
      <c r="B52" s="12" t="s">
        <v>319</v>
      </c>
      <c r="C52" s="13">
        <v>13878977.630000001</v>
      </c>
      <c r="D52" s="15"/>
      <c r="E52" s="13"/>
      <c r="F52" s="15"/>
      <c r="G52" s="15"/>
      <c r="H52" s="15"/>
      <c r="I52" s="15"/>
      <c r="J52" s="15">
        <v>-5163500</v>
      </c>
      <c r="K52" s="31"/>
      <c r="L52" s="16">
        <f t="shared" si="6"/>
        <v>-5163500</v>
      </c>
      <c r="M52" s="9">
        <f t="shared" si="9"/>
        <v>8715477.6300000008</v>
      </c>
    </row>
    <row r="53" spans="1:13" ht="15.75" x14ac:dyDescent="0.25">
      <c r="A53" s="21"/>
      <c r="B53" s="22" t="s">
        <v>320</v>
      </c>
      <c r="C53" s="23">
        <f>C4+C15+C18+C25+C30+C37+C40+C45+C49+C51</f>
        <v>1627168342.79</v>
      </c>
      <c r="D53" s="23">
        <f>D4+D15+D18+D25+D30+D37+D40+D45+D49+D51+D13</f>
        <v>234849472.77999997</v>
      </c>
      <c r="E53" s="23">
        <f>E4+E15+E18+E25+E30+E37+E45+E49+E51+E40</f>
        <v>28844961.66</v>
      </c>
      <c r="F53" s="23">
        <f>F4+F15+F18+F25+F30+F37+F40+F45+F49+F51</f>
        <v>43665387.560000002</v>
      </c>
      <c r="G53" s="23">
        <f t="shared" ref="G53:K53" si="15">G4+G15+G18+G25+G30+G37+G40+G45+G49+G51</f>
        <v>8832122.3100000005</v>
      </c>
      <c r="H53" s="23">
        <f>H4+H15+H18+H25+H30+H37+H40+H45+H49+H51</f>
        <v>38672729.25</v>
      </c>
      <c r="I53" s="23">
        <f>I4+I15+I18+I25+I30+I37+I40+I45+I49+I51</f>
        <v>69654282.569999993</v>
      </c>
      <c r="J53" s="23">
        <f t="shared" si="15"/>
        <v>-10991615.639999999</v>
      </c>
      <c r="K53" s="23">
        <f t="shared" si="15"/>
        <v>-5461635.0100000007</v>
      </c>
      <c r="L53" s="23">
        <f>L4+L15+L18+L25+L30+L37+L40+L45+L49+L51+L13</f>
        <v>408650780.48000002</v>
      </c>
      <c r="M53" s="9">
        <f>C53+L53</f>
        <v>2035819123.27</v>
      </c>
    </row>
  </sheetData>
  <mergeCells count="1">
    <mergeCell ref="B1:M1"/>
  </mergeCells>
  <pageMargins left="0.31496062992125984" right="0" top="0" bottom="0" header="0" footer="0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911B6E4-3864-4C98-83E1-687D14AB08A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Irinabb</dc:creator>
  <cp:lastModifiedBy>Polina</cp:lastModifiedBy>
  <cp:lastPrinted>2022-03-17T22:35:46Z</cp:lastPrinted>
  <dcterms:created xsi:type="dcterms:W3CDTF">2020-05-26T03:47:10Z</dcterms:created>
  <dcterms:modified xsi:type="dcterms:W3CDTF">2023-05-25T02:15:35Z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992_20001_0503117G_Y_12.2019...xlsx</vt:lpwstr>
  </property>
  <property fmtid="{D5CDD505-2E9C-101B-9397-08002B2CF9AE}" pid="3" name="Название отчета">
    <vt:lpwstr>992_20001_0503117G_Y_12.2019...xlsx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use_vl_2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